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berc\OneDrive - Azores PV\"/>
    </mc:Choice>
  </mc:AlternateContent>
  <xr:revisionPtr revIDLastSave="0" documentId="8_{690CB88F-9EC3-4D41-8D57-CC8FB80F7017}" xr6:coauthVersionLast="47" xr6:coauthVersionMax="47" xr10:uidLastSave="{00000000-0000-0000-0000-000000000000}"/>
  <bookViews>
    <workbookView xWindow="-120" yWindow="-120" windowWidth="20730" windowHeight="11040" xr2:uid="{38EDFD92-2744-4471-9C45-F48D5FA89C6B}"/>
  </bookViews>
  <sheets>
    <sheet name="Poupança 2028-2053" sheetId="12" r:id="rId1"/>
    <sheet name="Poupança 2028-2029" sheetId="13" r:id="rId2"/>
    <sheet name="Resumo de poupança 2028-2029" sheetId="14" r:id="rId3"/>
    <sheet name="Resumo de poupança 2028-2053" sheetId="15" r:id="rId4"/>
    <sheet name="Custo Efetivo" sheetId="16" r:id="rId5"/>
    <sheet name="Preço PPA" sheetId="9" r:id="rId6"/>
    <sheet name="Custos EDA-Fueloil e Gasoleo" sheetId="3" r:id="rId7"/>
    <sheet name="Custos EDA-Renovaveis" sheetId="7" r:id="rId8"/>
    <sheet name="Custos EDA - Todas as Fontes" sheetId="8" r:id="rId9"/>
    <sheet name="Preços de Petróleo" sheetId="5" r:id="rId10"/>
    <sheet name="Custos de CO2" sheetId="4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I4" i="4" s="1"/>
  <c r="I37" i="14"/>
  <c r="H37" i="14"/>
  <c r="G37" i="14"/>
  <c r="F37" i="14"/>
  <c r="E37" i="14"/>
  <c r="D37" i="14"/>
  <c r="C37" i="14"/>
  <c r="C87" i="13"/>
  <c r="H83" i="13"/>
  <c r="G83" i="13"/>
  <c r="F83" i="13"/>
  <c r="E83" i="13"/>
  <c r="D83" i="13"/>
  <c r="C83" i="13"/>
  <c r="H81" i="13"/>
  <c r="G81" i="13"/>
  <c r="F81" i="13"/>
  <c r="E81" i="13"/>
  <c r="D81" i="13"/>
  <c r="D82" i="13" s="1"/>
  <c r="C81" i="13"/>
  <c r="H86" i="13"/>
  <c r="G86" i="13"/>
  <c r="F86" i="13"/>
  <c r="E86" i="13"/>
  <c r="D86" i="13"/>
  <c r="C86" i="13"/>
  <c r="C82" i="13"/>
  <c r="I74" i="13"/>
  <c r="H74" i="13"/>
  <c r="G74" i="13"/>
  <c r="F74" i="13"/>
  <c r="E74" i="13"/>
  <c r="D74" i="13"/>
  <c r="C74" i="13"/>
  <c r="G79" i="13"/>
  <c r="D79" i="13"/>
  <c r="H76" i="13"/>
  <c r="H79" i="13" s="1"/>
  <c r="F76" i="13"/>
  <c r="F79" i="13" s="1"/>
  <c r="E76" i="13"/>
  <c r="E79" i="13" s="1"/>
  <c r="C76" i="13"/>
  <c r="C79" i="13" s="1"/>
  <c r="H72" i="13"/>
  <c r="G72" i="13"/>
  <c r="E72" i="13"/>
  <c r="F72" i="13" s="1"/>
  <c r="C40" i="3"/>
  <c r="C39" i="3"/>
  <c r="C38" i="3"/>
  <c r="C37" i="3"/>
  <c r="B42" i="3"/>
  <c r="B41" i="3"/>
  <c r="B40" i="3"/>
  <c r="B39" i="3"/>
  <c r="B38" i="3"/>
  <c r="B37" i="3"/>
  <c r="I79" i="13" l="1"/>
  <c r="L21" i="4" l="1"/>
  <c r="H72" i="15" l="1"/>
  <c r="G72" i="15"/>
  <c r="H66" i="15"/>
  <c r="G66" i="15"/>
  <c r="G31" i="14" l="1"/>
  <c r="D31" i="14"/>
  <c r="H28" i="14"/>
  <c r="H31" i="14" s="1"/>
  <c r="F28" i="14"/>
  <c r="F31" i="14" s="1"/>
  <c r="E28" i="14"/>
  <c r="E31" i="14" s="1"/>
  <c r="C28" i="14"/>
  <c r="C31" i="14" s="1"/>
  <c r="G17" i="14"/>
  <c r="D17" i="14"/>
  <c r="H14" i="14"/>
  <c r="F14" i="14"/>
  <c r="E14" i="14"/>
  <c r="C14" i="14"/>
  <c r="H30" i="15"/>
  <c r="G30" i="15"/>
  <c r="F30" i="15"/>
  <c r="E30" i="15"/>
  <c r="D30" i="15"/>
  <c r="C30" i="15"/>
  <c r="I9" i="15"/>
  <c r="H9" i="15"/>
  <c r="H39" i="15" s="1"/>
  <c r="G9" i="15"/>
  <c r="G39" i="15" s="1"/>
  <c r="F9" i="15"/>
  <c r="F39" i="15" s="1"/>
  <c r="E9" i="15"/>
  <c r="D9" i="15"/>
  <c r="D39" i="15" s="1"/>
  <c r="C9" i="15"/>
  <c r="C39" i="15" s="1"/>
  <c r="H31" i="15"/>
  <c r="G31" i="15"/>
  <c r="F31" i="15"/>
  <c r="E31" i="15"/>
  <c r="K29" i="15"/>
  <c r="J29" i="15"/>
  <c r="I29" i="15"/>
  <c r="H20" i="15"/>
  <c r="G20" i="15"/>
  <c r="F20" i="15"/>
  <c r="E20" i="15"/>
  <c r="C20" i="15"/>
  <c r="H76" i="14"/>
  <c r="G76" i="14"/>
  <c r="H70" i="14"/>
  <c r="G70" i="14"/>
  <c r="K32" i="14"/>
  <c r="J32" i="14"/>
  <c r="K11" i="14"/>
  <c r="J11" i="14"/>
  <c r="G44" i="14" l="1"/>
  <c r="G16" i="15"/>
  <c r="C45" i="14"/>
  <c r="C28" i="15"/>
  <c r="C41" i="15" s="1"/>
  <c r="D44" i="14"/>
  <c r="D56" i="14" s="1"/>
  <c r="D16" i="15"/>
  <c r="E28" i="15"/>
  <c r="E41" i="15" s="1"/>
  <c r="E45" i="14"/>
  <c r="F45" i="14"/>
  <c r="F28" i="15"/>
  <c r="F41" i="15" s="1"/>
  <c r="H28" i="15"/>
  <c r="H41" i="15" s="1"/>
  <c r="H45" i="14"/>
  <c r="D45" i="14"/>
  <c r="D57" i="14" s="1"/>
  <c r="D28" i="15"/>
  <c r="D41" i="15" s="1"/>
  <c r="G45" i="14"/>
  <c r="G86" i="14" s="1"/>
  <c r="G28" i="15"/>
  <c r="G41" i="15" s="1"/>
  <c r="D80" i="15"/>
  <c r="D69" i="15"/>
  <c r="D51" i="15"/>
  <c r="D63" i="15"/>
  <c r="D75" i="15"/>
  <c r="F80" i="15"/>
  <c r="F63" i="15"/>
  <c r="F75" i="15"/>
  <c r="F51" i="15"/>
  <c r="F69" i="15"/>
  <c r="G51" i="15"/>
  <c r="G80" i="15"/>
  <c r="G75" i="15"/>
  <c r="H51" i="15"/>
  <c r="H75" i="15"/>
  <c r="H80" i="15"/>
  <c r="C80" i="15"/>
  <c r="C75" i="15"/>
  <c r="C69" i="15"/>
  <c r="C63" i="15"/>
  <c r="C51" i="15"/>
  <c r="K9" i="15"/>
  <c r="E39" i="15"/>
  <c r="I39" i="15" s="1"/>
  <c r="J9" i="15"/>
  <c r="K31" i="15"/>
  <c r="D80" i="14"/>
  <c r="D68" i="14"/>
  <c r="D85" i="14"/>
  <c r="F57" i="14"/>
  <c r="F69" i="14"/>
  <c r="F86" i="14"/>
  <c r="F75" i="14"/>
  <c r="F81" i="14"/>
  <c r="D69" i="14"/>
  <c r="D86" i="14"/>
  <c r="D75" i="14"/>
  <c r="D81" i="14"/>
  <c r="G56" i="14"/>
  <c r="G80" i="14"/>
  <c r="G85" i="14"/>
  <c r="C69" i="14"/>
  <c r="C57" i="14"/>
  <c r="C75" i="14"/>
  <c r="C86" i="14"/>
  <c r="C81" i="14"/>
  <c r="C17" i="14"/>
  <c r="C16" i="15" s="1"/>
  <c r="F17" i="14"/>
  <c r="E17" i="14"/>
  <c r="H17" i="14"/>
  <c r="F32" i="15"/>
  <c r="H32" i="15"/>
  <c r="I30" i="15"/>
  <c r="J30" i="15"/>
  <c r="E32" i="15"/>
  <c r="K20" i="15"/>
  <c r="G32" i="15"/>
  <c r="K30" i="15"/>
  <c r="D74" i="14" l="1"/>
  <c r="H44" i="14"/>
  <c r="H16" i="15"/>
  <c r="F44" i="14"/>
  <c r="F56" i="14" s="1"/>
  <c r="F16" i="15"/>
  <c r="H86" i="14"/>
  <c r="H57" i="14"/>
  <c r="H81" i="14"/>
  <c r="E81" i="14"/>
  <c r="E75" i="14"/>
  <c r="E69" i="14"/>
  <c r="E86" i="14"/>
  <c r="E57" i="14"/>
  <c r="E44" i="14"/>
  <c r="E85" i="14" s="1"/>
  <c r="E16" i="15"/>
  <c r="I16" i="15" s="1"/>
  <c r="G57" i="14"/>
  <c r="I45" i="14"/>
  <c r="G81" i="14"/>
  <c r="E80" i="15"/>
  <c r="I80" i="15" s="1"/>
  <c r="E75" i="15"/>
  <c r="I75" i="15" s="1"/>
  <c r="E69" i="15"/>
  <c r="E63" i="15"/>
  <c r="E51" i="15"/>
  <c r="I63" i="15"/>
  <c r="F80" i="14"/>
  <c r="H56" i="14"/>
  <c r="H80" i="14"/>
  <c r="H85" i="14"/>
  <c r="J17" i="14"/>
  <c r="C44" i="14"/>
  <c r="K28" i="15"/>
  <c r="K32" i="15"/>
  <c r="F85" i="14" l="1"/>
  <c r="F68" i="14"/>
  <c r="F74" i="14"/>
  <c r="E74" i="14"/>
  <c r="E80" i="14"/>
  <c r="E56" i="14"/>
  <c r="E68" i="14"/>
  <c r="I51" i="15"/>
  <c r="I69" i="15"/>
  <c r="C68" i="14"/>
  <c r="C56" i="14"/>
  <c r="C85" i="14"/>
  <c r="I85" i="14" s="1"/>
  <c r="C80" i="14"/>
  <c r="I80" i="14" s="1"/>
  <c r="C74" i="14"/>
  <c r="J28" i="15"/>
  <c r="I74" i="14" l="1"/>
  <c r="I56" i="14"/>
  <c r="I68" i="14"/>
  <c r="H34" i="14"/>
  <c r="G34" i="14"/>
  <c r="F34" i="14"/>
  <c r="E34" i="14"/>
  <c r="J33" i="14" l="1"/>
  <c r="K34" i="14"/>
  <c r="K31" i="14"/>
  <c r="K33" i="14"/>
  <c r="H21" i="14"/>
  <c r="G21" i="14"/>
  <c r="F21" i="14"/>
  <c r="E21" i="14"/>
  <c r="C21" i="14"/>
  <c r="H7" i="14"/>
  <c r="G7" i="14"/>
  <c r="F7" i="14"/>
  <c r="E7" i="14"/>
  <c r="D7" i="14"/>
  <c r="C7" i="14"/>
  <c r="K7" i="14" l="1"/>
  <c r="E43" i="14"/>
  <c r="C43" i="14"/>
  <c r="H43" i="14"/>
  <c r="D43" i="14"/>
  <c r="F43" i="14"/>
  <c r="G43" i="14"/>
  <c r="J7" i="14"/>
  <c r="K21" i="14"/>
  <c r="H40" i="15"/>
  <c r="G40" i="15"/>
  <c r="F40" i="15"/>
  <c r="D40" i="15"/>
  <c r="I43" i="12"/>
  <c r="H37" i="12"/>
  <c r="G37" i="12"/>
  <c r="F37" i="12"/>
  <c r="E37" i="12"/>
  <c r="D37" i="12"/>
  <c r="C37" i="12"/>
  <c r="I18" i="12"/>
  <c r="C19" i="12"/>
  <c r="C20" i="12" s="1"/>
  <c r="D19" i="12"/>
  <c r="D20" i="12" s="1"/>
  <c r="E19" i="12"/>
  <c r="E20" i="12" s="1"/>
  <c r="F19" i="12"/>
  <c r="F20" i="12" s="1"/>
  <c r="G19" i="12"/>
  <c r="G20" i="12" s="1"/>
  <c r="H19" i="12"/>
  <c r="H20" i="12" s="1"/>
  <c r="C40" i="15" l="1"/>
  <c r="J16" i="15"/>
  <c r="E40" i="15"/>
  <c r="K16" i="15"/>
  <c r="G79" i="14"/>
  <c r="G55" i="14"/>
  <c r="G84" i="14"/>
  <c r="D73" i="14"/>
  <c r="D76" i="14" s="1"/>
  <c r="D79" i="14"/>
  <c r="D82" i="14" s="1"/>
  <c r="D67" i="14"/>
  <c r="D70" i="14" s="1"/>
  <c r="D55" i="14"/>
  <c r="D58" i="14" s="1"/>
  <c r="D84" i="14"/>
  <c r="D87" i="14" s="1"/>
  <c r="E46" i="14"/>
  <c r="E73" i="14"/>
  <c r="E67" i="14"/>
  <c r="E55" i="14"/>
  <c r="E79" i="14"/>
  <c r="E84" i="14"/>
  <c r="F46" i="14"/>
  <c r="F67" i="14"/>
  <c r="F55" i="14"/>
  <c r="F73" i="14"/>
  <c r="F84" i="14"/>
  <c r="F79" i="14"/>
  <c r="H46" i="14"/>
  <c r="H55" i="14"/>
  <c r="H84" i="14"/>
  <c r="H79" i="14"/>
  <c r="C84" i="14"/>
  <c r="C55" i="14"/>
  <c r="C67" i="14"/>
  <c r="C73" i="14"/>
  <c r="C79" i="14"/>
  <c r="G46" i="14"/>
  <c r="I44" i="14"/>
  <c r="I43" i="14"/>
  <c r="D46" i="14"/>
  <c r="C46" i="14"/>
  <c r="I56" i="12"/>
  <c r="I37" i="12"/>
  <c r="I19" i="12"/>
  <c r="I20" i="12"/>
  <c r="I55" i="14" l="1"/>
  <c r="I84" i="14"/>
  <c r="I79" i="14"/>
  <c r="C76" i="14"/>
  <c r="I73" i="14"/>
  <c r="I67" i="14"/>
  <c r="I46" i="14"/>
  <c r="C40" i="13"/>
  <c r="J31" i="14" l="1"/>
  <c r="K17" i="14"/>
  <c r="I17" i="14"/>
  <c r="D45" i="12"/>
  <c r="D39" i="12"/>
  <c r="H38" i="12"/>
  <c r="G38" i="12"/>
  <c r="F38" i="12"/>
  <c r="E38" i="12"/>
  <c r="D38" i="12"/>
  <c r="C38" i="12"/>
  <c r="H28" i="12" l="1"/>
  <c r="H30" i="12" s="1"/>
  <c r="G28" i="12"/>
  <c r="G30" i="12" s="1"/>
  <c r="F28" i="12"/>
  <c r="F30" i="12" s="1"/>
  <c r="E28" i="12"/>
  <c r="E30" i="12" s="1"/>
  <c r="D28" i="12"/>
  <c r="D30" i="12" s="1"/>
  <c r="C28" i="12"/>
  <c r="C30" i="12" s="1"/>
  <c r="C32" i="12" s="1"/>
  <c r="H42" i="12"/>
  <c r="G42" i="12"/>
  <c r="F42" i="12"/>
  <c r="E42" i="12"/>
  <c r="D42" i="12"/>
  <c r="C42" i="12"/>
  <c r="I36" i="12"/>
  <c r="I27" i="12"/>
  <c r="E44" i="12" l="1"/>
  <c r="E47" i="12" s="1"/>
  <c r="E54" i="12" s="1"/>
  <c r="F44" i="12"/>
  <c r="G44" i="12"/>
  <c r="H44" i="12"/>
  <c r="C44" i="12"/>
  <c r="C47" i="12" s="1"/>
  <c r="C54" i="12" s="1"/>
  <c r="D44" i="12"/>
  <c r="D47" i="12" s="1"/>
  <c r="D54" i="12" s="1"/>
  <c r="D32" i="12"/>
  <c r="D33" i="12" s="1"/>
  <c r="E32" i="12"/>
  <c r="G32" i="12"/>
  <c r="H32" i="12"/>
  <c r="I42" i="12"/>
  <c r="I38" i="12"/>
  <c r="C33" i="12"/>
  <c r="I30" i="12"/>
  <c r="D40" i="12"/>
  <c r="I28" i="12"/>
  <c r="G47" i="12" l="1"/>
  <c r="G54" i="12" s="1"/>
  <c r="G55" i="12" s="1"/>
  <c r="E55" i="12"/>
  <c r="E57" i="12" s="1"/>
  <c r="E17" i="15" s="1"/>
  <c r="F47" i="12"/>
  <c r="F54" i="12" s="1"/>
  <c r="D46" i="12"/>
  <c r="D48" i="12" s="1"/>
  <c r="D55" i="12"/>
  <c r="D57" i="12" s="1"/>
  <c r="D17" i="15" s="1"/>
  <c r="H47" i="12"/>
  <c r="H54" i="12" s="1"/>
  <c r="E33" i="12"/>
  <c r="G33" i="12"/>
  <c r="I44" i="12"/>
  <c r="F32" i="12"/>
  <c r="F33" i="12" s="1"/>
  <c r="H33" i="12"/>
  <c r="D49" i="12" l="1"/>
  <c r="D19" i="15"/>
  <c r="G57" i="12"/>
  <c r="G17" i="15" s="1"/>
  <c r="F55" i="12"/>
  <c r="F57" i="12" s="1"/>
  <c r="F17" i="15" s="1"/>
  <c r="H55" i="12"/>
  <c r="H57" i="12" s="1"/>
  <c r="H17" i="15" s="1"/>
  <c r="I47" i="12"/>
  <c r="I33" i="12"/>
  <c r="C55" i="12"/>
  <c r="I54" i="12"/>
  <c r="I32" i="12"/>
  <c r="I31" i="12" s="1"/>
  <c r="K17" i="15" l="1"/>
  <c r="D81" i="15"/>
  <c r="D64" i="15"/>
  <c r="D70" i="15"/>
  <c r="D76" i="15"/>
  <c r="D52" i="15"/>
  <c r="I55" i="12"/>
  <c r="C57" i="12"/>
  <c r="C17" i="15" s="1"/>
  <c r="J17" i="15" l="1"/>
  <c r="I17" i="15"/>
  <c r="I57" i="12"/>
  <c r="H37" i="8"/>
  <c r="H36" i="8"/>
  <c r="H35" i="8"/>
  <c r="H34" i="8"/>
  <c r="H33" i="8"/>
  <c r="H32" i="8"/>
  <c r="E32" i="8" s="1"/>
  <c r="D46" i="13" l="1"/>
  <c r="C46" i="13"/>
  <c r="I18" i="13" l="1"/>
  <c r="I16" i="13"/>
  <c r="I7" i="14" s="1"/>
  <c r="F52" i="7"/>
  <c r="E43" i="7" l="1"/>
  <c r="E42" i="7"/>
  <c r="E41" i="7"/>
  <c r="E40" i="7"/>
  <c r="E39" i="7"/>
  <c r="J28" i="7"/>
  <c r="J50" i="7" s="1"/>
  <c r="J53" i="7"/>
  <c r="Y53" i="7" s="1"/>
  <c r="J52" i="7"/>
  <c r="Y52" i="7" s="1"/>
  <c r="J51" i="7"/>
  <c r="Y51" i="7" s="1"/>
  <c r="H42" i="7"/>
  <c r="H53" i="7" s="1"/>
  <c r="H41" i="7"/>
  <c r="H52" i="7" s="1"/>
  <c r="I52" i="7" s="1"/>
  <c r="H40" i="7"/>
  <c r="H51" i="7" s="1"/>
  <c r="I51" i="7" s="1"/>
  <c r="H39" i="7"/>
  <c r="H38" i="7"/>
  <c r="H49" i="7" s="1"/>
  <c r="I49" i="7" s="1"/>
  <c r="B38" i="7"/>
  <c r="I53" i="7" l="1"/>
  <c r="C50" i="7"/>
  <c r="B50" i="7" s="1"/>
  <c r="B8" i="9" l="1"/>
  <c r="K21" i="12" l="1"/>
  <c r="C17" i="12" l="1"/>
  <c r="I6" i="12" l="1"/>
  <c r="I5" i="12"/>
  <c r="H22" i="12" l="1"/>
  <c r="F22" i="12"/>
  <c r="C22" i="12"/>
  <c r="D22" i="12"/>
  <c r="G22" i="12"/>
  <c r="E22" i="12"/>
  <c r="T10" i="13"/>
  <c r="H73" i="13"/>
  <c r="G73" i="13"/>
  <c r="F73" i="13"/>
  <c r="E73" i="13"/>
  <c r="H60" i="12" l="1"/>
  <c r="F60" i="12"/>
  <c r="E60" i="12"/>
  <c r="C60" i="12"/>
  <c r="G60" i="12"/>
  <c r="D60" i="12"/>
  <c r="I22" i="12"/>
  <c r="I60" i="12" s="1"/>
  <c r="D73" i="13"/>
  <c r="C73" i="13"/>
  <c r="F54" i="7" l="1"/>
  <c r="E54" i="7" s="1"/>
  <c r="F53" i="7"/>
  <c r="E53" i="7" s="1"/>
  <c r="E52" i="7"/>
  <c r="F51" i="7"/>
  <c r="E51" i="7" s="1"/>
  <c r="E47" i="13" l="1"/>
  <c r="H47" i="13"/>
  <c r="G47" i="13"/>
  <c r="F47" i="13"/>
  <c r="D47" i="13"/>
  <c r="C47" i="13"/>
  <c r="E41" i="13" l="1"/>
  <c r="B24" i="8" l="1"/>
  <c r="H7" i="12" s="1"/>
  <c r="B23" i="8"/>
  <c r="G7" i="12" s="1"/>
  <c r="B22" i="8"/>
  <c r="F7" i="12" s="1"/>
  <c r="B21" i="8"/>
  <c r="E7" i="12" s="1"/>
  <c r="B20" i="8"/>
  <c r="D7" i="12" s="1"/>
  <c r="B19" i="8"/>
  <c r="C7" i="12" s="1"/>
  <c r="Y49" i="7"/>
  <c r="K49" i="7"/>
  <c r="T49" i="7"/>
  <c r="E38" i="7"/>
  <c r="W51" i="7"/>
  <c r="P55" i="7"/>
  <c r="Y42" i="7"/>
  <c r="W41" i="7"/>
  <c r="W40" i="7"/>
  <c r="V39" i="7"/>
  <c r="T39" i="7"/>
  <c r="T44" i="7" s="1"/>
  <c r="S38" i="7"/>
  <c r="S44" i="7" s="1"/>
  <c r="Q38" i="7"/>
  <c r="Q44" i="7" s="1"/>
  <c r="P38" i="7"/>
  <c r="P44" i="7" s="1"/>
  <c r="N44" i="7"/>
  <c r="H25" i="8"/>
  <c r="I7" i="12" l="1"/>
  <c r="V44" i="7"/>
  <c r="Y39" i="7"/>
  <c r="W42" i="7"/>
  <c r="Z42" i="7" s="1"/>
  <c r="H44" i="7"/>
  <c r="W43" i="7"/>
  <c r="W52" i="7"/>
  <c r="X52" i="7" s="1"/>
  <c r="W53" i="7"/>
  <c r="X53" i="7" s="1"/>
  <c r="X51" i="7"/>
  <c r="W38" i="7"/>
  <c r="B44" i="7"/>
  <c r="Y43" i="7"/>
  <c r="Y40" i="7"/>
  <c r="Z40" i="7" s="1"/>
  <c r="Y41" i="7"/>
  <c r="Z41" i="7" s="1"/>
  <c r="J44" i="7"/>
  <c r="I44" i="7" l="1"/>
  <c r="Z43" i="7"/>
  <c r="D55" i="7"/>
  <c r="Y38" i="7"/>
  <c r="Z38" i="7" s="1"/>
  <c r="D44" i="7"/>
  <c r="G55" i="7" l="1"/>
  <c r="B20" i="9" l="1"/>
  <c r="F19" i="9"/>
  <c r="G19" i="9" s="1"/>
  <c r="B19" i="9"/>
  <c r="F18" i="9"/>
  <c r="G18" i="9" s="1"/>
  <c r="B18" i="9"/>
  <c r="F17" i="9"/>
  <c r="G17" i="9" s="1"/>
  <c r="B17" i="9"/>
  <c r="F16" i="9"/>
  <c r="G16" i="9" s="1"/>
  <c r="B16" i="9"/>
  <c r="F15" i="9"/>
  <c r="G15" i="9" s="1"/>
  <c r="B15" i="9"/>
  <c r="F14" i="9"/>
  <c r="G14" i="9" s="1"/>
  <c r="B14" i="9"/>
  <c r="B9" i="9"/>
  <c r="B7" i="9"/>
  <c r="B6" i="9"/>
  <c r="B5" i="9"/>
  <c r="B4" i="9"/>
  <c r="B3" i="9"/>
  <c r="F20" i="9" l="1"/>
  <c r="G20" i="9"/>
  <c r="H14" i="9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H15" i="9"/>
  <c r="I15" i="9" s="1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H19" i="9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U19" i="9" s="1"/>
  <c r="V19" i="9" s="1"/>
  <c r="W19" i="9" s="1"/>
  <c r="X19" i="9" s="1"/>
  <c r="Y19" i="9" s="1"/>
  <c r="Z19" i="9" s="1"/>
  <c r="AA19" i="9" s="1"/>
  <c r="AB19" i="9" s="1"/>
  <c r="AC19" i="9" s="1"/>
  <c r="AD19" i="9" s="1"/>
  <c r="H16" i="9"/>
  <c r="I16" i="9" s="1"/>
  <c r="J16" i="9" s="1"/>
  <c r="K16" i="9" s="1"/>
  <c r="L16" i="9" s="1"/>
  <c r="M16" i="9" s="1"/>
  <c r="N16" i="9" s="1"/>
  <c r="O16" i="9" s="1"/>
  <c r="P16" i="9" s="1"/>
  <c r="Q16" i="9" s="1"/>
  <c r="R16" i="9" s="1"/>
  <c r="S16" i="9" s="1"/>
  <c r="T16" i="9" s="1"/>
  <c r="U16" i="9" s="1"/>
  <c r="V16" i="9" s="1"/>
  <c r="W16" i="9" s="1"/>
  <c r="X16" i="9" s="1"/>
  <c r="Y16" i="9" s="1"/>
  <c r="Z16" i="9" s="1"/>
  <c r="AA16" i="9" s="1"/>
  <c r="AB16" i="9" s="1"/>
  <c r="AC16" i="9" s="1"/>
  <c r="AD16" i="9" s="1"/>
  <c r="H17" i="9"/>
  <c r="I17" i="9" s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D16" i="9" l="1"/>
  <c r="D15" i="9"/>
  <c r="D18" i="9"/>
  <c r="H20" i="9"/>
  <c r="I14" i="9"/>
  <c r="D19" i="9"/>
  <c r="D17" i="9"/>
  <c r="J14" i="9" l="1"/>
  <c r="I20" i="9"/>
  <c r="K14" i="9" l="1"/>
  <c r="J20" i="9"/>
  <c r="K20" i="9" l="1"/>
  <c r="L14" i="9"/>
  <c r="M14" i="9" l="1"/>
  <c r="L20" i="9"/>
  <c r="M20" i="9" l="1"/>
  <c r="N14" i="9"/>
  <c r="O14" i="9" l="1"/>
  <c r="N20" i="9"/>
  <c r="O20" i="9" l="1"/>
  <c r="P14" i="9"/>
  <c r="Q14" i="9" l="1"/>
  <c r="P20" i="9"/>
  <c r="Q20" i="9" l="1"/>
  <c r="R14" i="9"/>
  <c r="S14" i="9" l="1"/>
  <c r="R20" i="9"/>
  <c r="S20" i="9" l="1"/>
  <c r="T14" i="9"/>
  <c r="U14" i="9" l="1"/>
  <c r="T20" i="9"/>
  <c r="U20" i="9" l="1"/>
  <c r="V14" i="9"/>
  <c r="W14" i="9" l="1"/>
  <c r="V20" i="9"/>
  <c r="X14" i="9" l="1"/>
  <c r="W20" i="9"/>
  <c r="X20" i="9" l="1"/>
  <c r="Y14" i="9"/>
  <c r="Z14" i="9" l="1"/>
  <c r="Y20" i="9"/>
  <c r="AA14" i="9" l="1"/>
  <c r="Z20" i="9"/>
  <c r="AB14" i="9" l="1"/>
  <c r="AA20" i="9"/>
  <c r="AB20" i="9" l="1"/>
  <c r="AC14" i="9"/>
  <c r="AC20" i="9" l="1"/>
  <c r="AD14" i="9"/>
  <c r="D14" i="9" s="1"/>
  <c r="AD20" i="9" l="1"/>
  <c r="D20" i="9" s="1"/>
  <c r="I92" i="13" l="1"/>
  <c r="H92" i="13"/>
  <c r="G92" i="13"/>
  <c r="F92" i="13"/>
  <c r="E92" i="13"/>
  <c r="D92" i="13"/>
  <c r="C92" i="13"/>
  <c r="D48" i="13" l="1"/>
  <c r="D50" i="13" s="1"/>
  <c r="C48" i="13"/>
  <c r="I40" i="13"/>
  <c r="H41" i="13"/>
  <c r="G41" i="13"/>
  <c r="F41" i="13"/>
  <c r="D41" i="13"/>
  <c r="D43" i="13" s="1"/>
  <c r="C41" i="13"/>
  <c r="I47" i="13"/>
  <c r="H19" i="13"/>
  <c r="H20" i="13" s="1"/>
  <c r="G19" i="13"/>
  <c r="G20" i="13" s="1"/>
  <c r="F19" i="13"/>
  <c r="F20" i="13" s="1"/>
  <c r="E19" i="13"/>
  <c r="E20" i="13" s="1"/>
  <c r="D19" i="13"/>
  <c r="D20" i="13" s="1"/>
  <c r="C19" i="13"/>
  <c r="I15" i="13"/>
  <c r="I4" i="14" l="1"/>
  <c r="I11" i="14" s="1"/>
  <c r="B3" i="16"/>
  <c r="C20" i="13"/>
  <c r="I20" i="13" s="1"/>
  <c r="I19" i="13"/>
  <c r="G22" i="13"/>
  <c r="G104" i="13" s="1"/>
  <c r="G94" i="13"/>
  <c r="D22" i="13"/>
  <c r="D104" i="13" s="1"/>
  <c r="D94" i="13"/>
  <c r="H22" i="13"/>
  <c r="H104" i="13" s="1"/>
  <c r="H94" i="13"/>
  <c r="E22" i="13"/>
  <c r="E104" i="13" s="1"/>
  <c r="E94" i="13"/>
  <c r="F22" i="13"/>
  <c r="F104" i="13" s="1"/>
  <c r="F94" i="13"/>
  <c r="C60" i="13"/>
  <c r="D60" i="13"/>
  <c r="D53" i="13"/>
  <c r="D20" i="14" s="1"/>
  <c r="C52" i="13"/>
  <c r="D52" i="13"/>
  <c r="I41" i="13"/>
  <c r="I8" i="14" l="1"/>
  <c r="C22" i="13"/>
  <c r="I22" i="13" s="1"/>
  <c r="C94" i="13"/>
  <c r="C104" i="13"/>
  <c r="D61" i="13"/>
  <c r="D62" i="13" s="1"/>
  <c r="D65" i="13" s="1"/>
  <c r="D18" i="14" s="1"/>
  <c r="C61" i="13"/>
  <c r="C62" i="13" s="1"/>
  <c r="C65" i="13" s="1"/>
  <c r="C18" i="14" s="1"/>
  <c r="D54" i="13"/>
  <c r="E49" i="13"/>
  <c r="E45" i="12" s="1"/>
  <c r="E46" i="12" s="1"/>
  <c r="E42" i="13"/>
  <c r="E39" i="12" s="1"/>
  <c r="E40" i="12" s="1"/>
  <c r="F42" i="13"/>
  <c r="F39" i="12" s="1"/>
  <c r="F40" i="12" s="1"/>
  <c r="G42" i="13"/>
  <c r="G39" i="12" s="1"/>
  <c r="G40" i="12" s="1"/>
  <c r="J18" i="14" l="1"/>
  <c r="E48" i="12"/>
  <c r="D66" i="13"/>
  <c r="D93" i="13"/>
  <c r="C66" i="13"/>
  <c r="C93" i="13"/>
  <c r="E43" i="13"/>
  <c r="G49" i="13"/>
  <c r="G45" i="12" s="1"/>
  <c r="G46" i="12" s="1"/>
  <c r="G48" i="12" s="1"/>
  <c r="G43" i="13"/>
  <c r="F49" i="13"/>
  <c r="F45" i="12" s="1"/>
  <c r="F46" i="12" s="1"/>
  <c r="F48" i="12" s="1"/>
  <c r="F43" i="13"/>
  <c r="H46" i="13"/>
  <c r="H48" i="13" s="1"/>
  <c r="G49" i="12" l="1"/>
  <c r="G19" i="15"/>
  <c r="F49" i="12"/>
  <c r="F19" i="15"/>
  <c r="E49" i="12"/>
  <c r="E19" i="15"/>
  <c r="H52" i="13"/>
  <c r="H60" i="13"/>
  <c r="G46" i="13"/>
  <c r="G48" i="13" s="1"/>
  <c r="G60" i="13" s="1"/>
  <c r="E81" i="15" l="1"/>
  <c r="E64" i="15"/>
  <c r="E76" i="15"/>
  <c r="E52" i="15"/>
  <c r="E70" i="15"/>
  <c r="K19" i="15"/>
  <c r="G61" i="13"/>
  <c r="G62" i="13" s="1"/>
  <c r="G65" i="13" s="1"/>
  <c r="G18" i="14" s="1"/>
  <c r="H61" i="13"/>
  <c r="H62" i="13" s="1"/>
  <c r="H65" i="13" s="1"/>
  <c r="H18" i="14" s="1"/>
  <c r="G50" i="13"/>
  <c r="G53" i="13" s="1"/>
  <c r="G20" i="14" s="1"/>
  <c r="G52" i="13"/>
  <c r="F46" i="13"/>
  <c r="G81" i="15" l="1"/>
  <c r="G76" i="15"/>
  <c r="G52" i="15"/>
  <c r="F81" i="15"/>
  <c r="F70" i="15"/>
  <c r="F76" i="15"/>
  <c r="F52" i="15"/>
  <c r="F64" i="15"/>
  <c r="F48" i="13"/>
  <c r="F60" i="13" s="1"/>
  <c r="F61" i="13" s="1"/>
  <c r="F62" i="13" s="1"/>
  <c r="F65" i="13" s="1"/>
  <c r="F18" i="14" s="1"/>
  <c r="H66" i="13"/>
  <c r="H93" i="13"/>
  <c r="G66" i="13"/>
  <c r="G93" i="13"/>
  <c r="G54" i="13"/>
  <c r="E46" i="13"/>
  <c r="E48" i="13" s="1"/>
  <c r="E60" i="13" s="1"/>
  <c r="F52" i="13" l="1"/>
  <c r="F50" i="13"/>
  <c r="F53" i="13" s="1"/>
  <c r="F20" i="14" s="1"/>
  <c r="F66" i="13"/>
  <c r="F93" i="13"/>
  <c r="E61" i="13"/>
  <c r="I61" i="13" s="1"/>
  <c r="I60" i="13"/>
  <c r="E50" i="13"/>
  <c r="E53" i="13" s="1"/>
  <c r="E20" i="14" s="1"/>
  <c r="E52" i="13"/>
  <c r="K20" i="14" l="1"/>
  <c r="F54" i="13"/>
  <c r="E62" i="13"/>
  <c r="E65" i="13" s="1"/>
  <c r="E54" i="13"/>
  <c r="I65" i="13" l="1"/>
  <c r="I18" i="14" s="1"/>
  <c r="E18" i="14"/>
  <c r="K18" i="14" s="1"/>
  <c r="E66" i="13"/>
  <c r="E93" i="13"/>
  <c r="C49" i="13" l="1"/>
  <c r="C42" i="13"/>
  <c r="C39" i="12" s="1"/>
  <c r="C40" i="12" s="1"/>
  <c r="C50" i="13" l="1"/>
  <c r="C45" i="12"/>
  <c r="C46" i="12" s="1"/>
  <c r="C43" i="13"/>
  <c r="C53" i="13" l="1"/>
  <c r="C54" i="13" s="1"/>
  <c r="C48" i="12"/>
  <c r="C19" i="15" s="1"/>
  <c r="E34" i="8"/>
  <c r="B34" i="8" s="1"/>
  <c r="E33" i="8"/>
  <c r="B33" i="8" s="1"/>
  <c r="B32" i="8"/>
  <c r="L37" i="3" l="1"/>
  <c r="G37" i="3" s="1"/>
  <c r="B44" i="8"/>
  <c r="L39" i="3"/>
  <c r="G39" i="3" s="1"/>
  <c r="B46" i="8"/>
  <c r="L38" i="3"/>
  <c r="G38" i="3" s="1"/>
  <c r="B45" i="8"/>
  <c r="C20" i="14"/>
  <c r="J20" i="14" s="1"/>
  <c r="C76" i="15"/>
  <c r="C81" i="15"/>
  <c r="C64" i="15"/>
  <c r="C70" i="15"/>
  <c r="C52" i="15"/>
  <c r="J19" i="15"/>
  <c r="C49" i="12"/>
  <c r="E35" i="8"/>
  <c r="B35" i="8" s="1"/>
  <c r="E36" i="8"/>
  <c r="B36" i="8" s="1"/>
  <c r="E37" i="8"/>
  <c r="B37" i="8" s="1"/>
  <c r="L41" i="3" l="1"/>
  <c r="B48" i="8"/>
  <c r="L40" i="3"/>
  <c r="G40" i="3" s="1"/>
  <c r="B47" i="8"/>
  <c r="L42" i="3"/>
  <c r="B49" i="8"/>
  <c r="I70" i="15"/>
  <c r="I64" i="15"/>
  <c r="C75" i="13"/>
  <c r="H101" i="13"/>
  <c r="C80" i="13" l="1"/>
  <c r="C31" i="15"/>
  <c r="C34" i="14"/>
  <c r="I101" i="13"/>
  <c r="C32" i="15" l="1"/>
  <c r="H15" i="13"/>
  <c r="G15" i="13"/>
  <c r="F15" i="13"/>
  <c r="F4" i="14" s="1"/>
  <c r="F19" i="14" s="1"/>
  <c r="E15" i="13"/>
  <c r="D15" i="13"/>
  <c r="D4" i="14" s="1"/>
  <c r="D19" i="14" s="1"/>
  <c r="C15" i="13"/>
  <c r="C4" i="14" s="1"/>
  <c r="C19" i="14" s="1"/>
  <c r="C11" i="14" l="1"/>
  <c r="C8" i="14"/>
  <c r="E63" i="13"/>
  <c r="E4" i="14"/>
  <c r="E19" i="14" s="1"/>
  <c r="D11" i="14"/>
  <c r="D8" i="14"/>
  <c r="F11" i="14"/>
  <c r="F22" i="14"/>
  <c r="F8" i="14"/>
  <c r="G63" i="13"/>
  <c r="G4" i="14"/>
  <c r="G19" i="14" s="1"/>
  <c r="H63" i="13"/>
  <c r="H4" i="14"/>
  <c r="H19" i="14" s="1"/>
  <c r="C63" i="13"/>
  <c r="F63" i="13"/>
  <c r="D63" i="13"/>
  <c r="C21" i="13"/>
  <c r="C17" i="13"/>
  <c r="D17" i="13"/>
  <c r="D21" i="13"/>
  <c r="E17" i="13"/>
  <c r="E21" i="13"/>
  <c r="F21" i="13"/>
  <c r="F17" i="13"/>
  <c r="G17" i="13"/>
  <c r="G21" i="13"/>
  <c r="H17" i="13"/>
  <c r="H21" i="13"/>
  <c r="E134" i="13"/>
  <c r="F134" i="13"/>
  <c r="C134" i="13"/>
  <c r="G134" i="13"/>
  <c r="H134" i="13"/>
  <c r="D134" i="13"/>
  <c r="J19" i="14" l="1"/>
  <c r="J8" i="14"/>
  <c r="C22" i="14"/>
  <c r="G11" i="14"/>
  <c r="G8" i="14"/>
  <c r="G22" i="14"/>
  <c r="G64" i="13"/>
  <c r="G110" i="13" s="1"/>
  <c r="E64" i="13"/>
  <c r="E110" i="13" s="1"/>
  <c r="E11" i="14"/>
  <c r="E8" i="14"/>
  <c r="H11" i="14"/>
  <c r="H8" i="14"/>
  <c r="F64" i="13"/>
  <c r="F110" i="13" s="1"/>
  <c r="I63" i="13"/>
  <c r="C64" i="13"/>
  <c r="C110" i="13" s="1"/>
  <c r="I17" i="13"/>
  <c r="I21" i="13"/>
  <c r="C23" i="13"/>
  <c r="D23" i="13"/>
  <c r="D109" i="13" s="1"/>
  <c r="F23" i="13"/>
  <c r="H23" i="13"/>
  <c r="H109" i="13" s="1"/>
  <c r="E23" i="13"/>
  <c r="G23" i="13"/>
  <c r="K8" i="14" l="1"/>
  <c r="E22" i="14"/>
  <c r="K22" i="14" s="1"/>
  <c r="K19" i="14"/>
  <c r="I19" i="14"/>
  <c r="I33" i="14"/>
  <c r="I23" i="13"/>
  <c r="G67" i="13"/>
  <c r="G35" i="14" s="1"/>
  <c r="G109" i="13"/>
  <c r="E67" i="13"/>
  <c r="E109" i="13"/>
  <c r="F67" i="13"/>
  <c r="F35" i="14" s="1"/>
  <c r="F109" i="13"/>
  <c r="C67" i="13"/>
  <c r="C35" i="14" s="1"/>
  <c r="C109" i="13"/>
  <c r="B43" i="3"/>
  <c r="C56" i="13" l="1"/>
  <c r="C57" i="13" s="1"/>
  <c r="C51" i="12" s="1"/>
  <c r="H42" i="13" l="1"/>
  <c r="H39" i="12" s="1"/>
  <c r="H40" i="12" s="1"/>
  <c r="I40" i="12" s="1"/>
  <c r="H43" i="13" l="1"/>
  <c r="G113" i="13"/>
  <c r="F113" i="13"/>
  <c r="E113" i="13"/>
  <c r="D113" i="13"/>
  <c r="I84" i="13"/>
  <c r="E56" i="13"/>
  <c r="E57" i="13" s="1"/>
  <c r="E51" i="12" s="1"/>
  <c r="D56" i="13"/>
  <c r="D57" i="13" s="1"/>
  <c r="H49" i="13"/>
  <c r="H29" i="13"/>
  <c r="G29" i="13"/>
  <c r="F29" i="13"/>
  <c r="E29" i="13"/>
  <c r="D29" i="13"/>
  <c r="C29" i="13"/>
  <c r="H32" i="13"/>
  <c r="G32" i="13"/>
  <c r="F32" i="13"/>
  <c r="E32" i="13"/>
  <c r="D32" i="13"/>
  <c r="C32" i="13"/>
  <c r="I31" i="13"/>
  <c r="H28" i="13"/>
  <c r="G28" i="13"/>
  <c r="F28" i="13"/>
  <c r="E28" i="13"/>
  <c r="D28" i="13"/>
  <c r="C28" i="13"/>
  <c r="I27" i="13"/>
  <c r="I6" i="13"/>
  <c r="I5" i="13"/>
  <c r="G30" i="13" l="1"/>
  <c r="D58" i="13"/>
  <c r="D21" i="14" s="1"/>
  <c r="J21" i="14" s="1"/>
  <c r="D51" i="12"/>
  <c r="D52" i="12" s="1"/>
  <c r="H50" i="13"/>
  <c r="I50" i="13" s="1"/>
  <c r="H45" i="12"/>
  <c r="H46" i="12" s="1"/>
  <c r="F30" i="13"/>
  <c r="F34" i="13"/>
  <c r="G34" i="13"/>
  <c r="H34" i="13"/>
  <c r="H30" i="13"/>
  <c r="D34" i="13"/>
  <c r="E34" i="13"/>
  <c r="C34" i="13"/>
  <c r="D30" i="13"/>
  <c r="E30" i="13"/>
  <c r="C30" i="13"/>
  <c r="I43" i="13"/>
  <c r="D75" i="13"/>
  <c r="D80" i="13" s="1"/>
  <c r="I134" i="13"/>
  <c r="F56" i="13"/>
  <c r="F57" i="13" s="1"/>
  <c r="F51" i="12" s="1"/>
  <c r="I29" i="13"/>
  <c r="G56" i="13"/>
  <c r="G57" i="13" s="1"/>
  <c r="G51" i="12" s="1"/>
  <c r="I32" i="13"/>
  <c r="I28" i="13"/>
  <c r="I52" i="12" l="1"/>
  <c r="D20" i="15"/>
  <c r="G45" i="13"/>
  <c r="G41" i="12" s="1"/>
  <c r="D45" i="13"/>
  <c r="D41" i="12" s="1"/>
  <c r="H45" i="13"/>
  <c r="H41" i="12" s="1"/>
  <c r="I21" i="14"/>
  <c r="D22" i="14"/>
  <c r="J22" i="14" s="1"/>
  <c r="H48" i="12"/>
  <c r="H19" i="15" s="1"/>
  <c r="I46" i="12"/>
  <c r="H53" i="13"/>
  <c r="F45" i="13"/>
  <c r="F41" i="12" s="1"/>
  <c r="D36" i="13"/>
  <c r="D38" i="13" s="1"/>
  <c r="D34" i="12" s="1"/>
  <c r="C97" i="13"/>
  <c r="C105" i="13" s="1"/>
  <c r="I30" i="13"/>
  <c r="D96" i="13"/>
  <c r="D105" i="13"/>
  <c r="I53" i="13"/>
  <c r="H54" i="13"/>
  <c r="E75" i="13"/>
  <c r="E80" i="13" s="1"/>
  <c r="G36" i="13"/>
  <c r="C36" i="13"/>
  <c r="C37" i="13" s="1"/>
  <c r="I34" i="13"/>
  <c r="H36" i="13"/>
  <c r="F36" i="13"/>
  <c r="H56" i="13"/>
  <c r="H57" i="13" s="1"/>
  <c r="H51" i="12" s="1"/>
  <c r="E36" i="13"/>
  <c r="E45" i="13"/>
  <c r="E41" i="12" s="1"/>
  <c r="D31" i="15" l="1"/>
  <c r="D34" i="14"/>
  <c r="J34" i="14" s="1"/>
  <c r="J20" i="15"/>
  <c r="I20" i="15"/>
  <c r="H64" i="13"/>
  <c r="H110" i="13" s="1"/>
  <c r="H20" i="14"/>
  <c r="E96" i="13"/>
  <c r="H49" i="12"/>
  <c r="I48" i="12"/>
  <c r="C96" i="13"/>
  <c r="D37" i="13"/>
  <c r="E97" i="13"/>
  <c r="E105" i="13" s="1"/>
  <c r="H38" i="13"/>
  <c r="H34" i="12" s="1"/>
  <c r="H37" i="13"/>
  <c r="E38" i="13"/>
  <c r="E34" i="12" s="1"/>
  <c r="E37" i="13"/>
  <c r="G38" i="13"/>
  <c r="G34" i="12" s="1"/>
  <c r="G37" i="13"/>
  <c r="F38" i="13"/>
  <c r="F34" i="12" s="1"/>
  <c r="F37" i="13"/>
  <c r="F75" i="13"/>
  <c r="F80" i="13" s="1"/>
  <c r="C45" i="13"/>
  <c r="C41" i="12" s="1"/>
  <c r="I41" i="12" s="1"/>
  <c r="C38" i="13"/>
  <c r="C34" i="12" s="1"/>
  <c r="G75" i="13"/>
  <c r="G80" i="13" s="1"/>
  <c r="I36" i="13"/>
  <c r="I35" i="13" s="1"/>
  <c r="H76" i="15" l="1"/>
  <c r="H52" i="15"/>
  <c r="H81" i="15"/>
  <c r="I40" i="15"/>
  <c r="H67" i="13"/>
  <c r="D32" i="15"/>
  <c r="J31" i="15"/>
  <c r="I31" i="15"/>
  <c r="I49" i="12"/>
  <c r="I19" i="15"/>
  <c r="H35" i="14"/>
  <c r="I20" i="14"/>
  <c r="H22" i="14"/>
  <c r="I31" i="14"/>
  <c r="I28" i="15" s="1"/>
  <c r="I34" i="12"/>
  <c r="G97" i="13"/>
  <c r="G105" i="13" s="1"/>
  <c r="F97" i="13"/>
  <c r="F105" i="13" s="1"/>
  <c r="I37" i="13"/>
  <c r="H75" i="13"/>
  <c r="H80" i="13" s="1"/>
  <c r="I80" i="13" s="1"/>
  <c r="I39" i="13"/>
  <c r="I46" i="13"/>
  <c r="D64" i="13"/>
  <c r="D110" i="13" s="1"/>
  <c r="I45" i="13"/>
  <c r="I38" i="13"/>
  <c r="I73" i="13"/>
  <c r="I52" i="15" l="1"/>
  <c r="I81" i="15"/>
  <c r="I76" i="15"/>
  <c r="J32" i="15"/>
  <c r="I32" i="15"/>
  <c r="I22" i="14"/>
  <c r="I32" i="14"/>
  <c r="E35" i="14"/>
  <c r="K35" i="14" s="1"/>
  <c r="F96" i="13"/>
  <c r="G96" i="13"/>
  <c r="H97" i="13"/>
  <c r="H105" i="13" s="1"/>
  <c r="D67" i="13"/>
  <c r="I64" i="13"/>
  <c r="I75" i="13"/>
  <c r="G28" i="3"/>
  <c r="G27" i="3"/>
  <c r="G26" i="3"/>
  <c r="G25" i="3"/>
  <c r="D35" i="14" l="1"/>
  <c r="J35" i="14" s="1"/>
  <c r="I34" i="14"/>
  <c r="H96" i="13"/>
  <c r="I86" i="13"/>
  <c r="I67" i="13"/>
  <c r="D91" i="13"/>
  <c r="D114" i="13" s="1"/>
  <c r="G31" i="3"/>
  <c r="I35" i="14" l="1"/>
  <c r="I58" i="13"/>
  <c r="E91" i="13"/>
  <c r="E114" i="13" s="1"/>
  <c r="F91" i="13"/>
  <c r="F114" i="13" s="1"/>
  <c r="G91" i="13"/>
  <c r="G114" i="13" s="1"/>
  <c r="B12" i="3"/>
  <c r="B11" i="3" l="1"/>
  <c r="B10" i="3"/>
  <c r="B9" i="3"/>
  <c r="B8" i="3"/>
  <c r="B7" i="3"/>
  <c r="B6" i="3"/>
  <c r="F24" i="8"/>
  <c r="F23" i="8"/>
  <c r="F22" i="8"/>
  <c r="F21" i="8"/>
  <c r="F20" i="8"/>
  <c r="F37" i="8" l="1"/>
  <c r="G24" i="8"/>
  <c r="F36" i="8"/>
  <c r="G23" i="8"/>
  <c r="F33" i="8"/>
  <c r="G20" i="8"/>
  <c r="F34" i="8"/>
  <c r="G21" i="8"/>
  <c r="F35" i="8"/>
  <c r="G22" i="8"/>
  <c r="I82" i="13"/>
  <c r="I110" i="13" s="1"/>
  <c r="C29" i="3" l="1"/>
  <c r="C41" i="3" s="1"/>
  <c r="C30" i="3" l="1"/>
  <c r="C42" i="3" s="1"/>
  <c r="C31" i="3" l="1"/>
  <c r="C43" i="3"/>
  <c r="I13" i="5"/>
  <c r="I14" i="5" s="1"/>
  <c r="J12" i="5"/>
  <c r="J11" i="5"/>
  <c r="J10" i="5"/>
  <c r="J9" i="5"/>
  <c r="J8" i="5"/>
  <c r="D13" i="5" l="1"/>
  <c r="F8" i="9" l="1"/>
  <c r="F7" i="9"/>
  <c r="F6" i="9"/>
  <c r="F5" i="9"/>
  <c r="F4" i="9"/>
  <c r="F3" i="9"/>
  <c r="F1" i="9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F9" i="9" l="1"/>
  <c r="G3" i="9"/>
  <c r="G4" i="9"/>
  <c r="H4" i="9" s="1"/>
  <c r="I4" i="9" s="1"/>
  <c r="J4" i="9" s="1"/>
  <c r="K4" i="9" s="1"/>
  <c r="L4" i="9" s="1"/>
  <c r="M4" i="9" s="1"/>
  <c r="N4" i="9" s="1"/>
  <c r="O4" i="9" s="1"/>
  <c r="G5" i="9"/>
  <c r="H5" i="9" s="1"/>
  <c r="I5" i="9" s="1"/>
  <c r="J5" i="9" s="1"/>
  <c r="K5" i="9" s="1"/>
  <c r="L5" i="9" s="1"/>
  <c r="M5" i="9" s="1"/>
  <c r="N5" i="9" s="1"/>
  <c r="O5" i="9" s="1"/>
  <c r="G6" i="9"/>
  <c r="H6" i="9" s="1"/>
  <c r="I6" i="9" s="1"/>
  <c r="J6" i="9" s="1"/>
  <c r="K6" i="9" s="1"/>
  <c r="L6" i="9" s="1"/>
  <c r="M6" i="9" s="1"/>
  <c r="N6" i="9" s="1"/>
  <c r="O6" i="9" s="1"/>
  <c r="G7" i="9"/>
  <c r="H7" i="9" s="1"/>
  <c r="I7" i="9" s="1"/>
  <c r="J7" i="9" s="1"/>
  <c r="K7" i="9" s="1"/>
  <c r="L7" i="9" s="1"/>
  <c r="M7" i="9" s="1"/>
  <c r="N7" i="9" s="1"/>
  <c r="O7" i="9" s="1"/>
  <c r="G8" i="9"/>
  <c r="H8" i="9" s="1"/>
  <c r="I8" i="9" s="1"/>
  <c r="J8" i="9" s="1"/>
  <c r="K8" i="9" s="1"/>
  <c r="L8" i="9" s="1"/>
  <c r="M8" i="9" s="1"/>
  <c r="N8" i="9" s="1"/>
  <c r="O8" i="9" s="1"/>
  <c r="P5" i="9" l="1"/>
  <c r="Q5" i="9" s="1"/>
  <c r="R5" i="9" s="1"/>
  <c r="S5" i="9" s="1"/>
  <c r="T5" i="9" s="1"/>
  <c r="U5" i="9" s="1"/>
  <c r="V5" i="9" s="1"/>
  <c r="W5" i="9" s="1"/>
  <c r="P4" i="9"/>
  <c r="Q4" i="9" s="1"/>
  <c r="R4" i="9" s="1"/>
  <c r="S4" i="9" s="1"/>
  <c r="T4" i="9" s="1"/>
  <c r="U4" i="9" s="1"/>
  <c r="V4" i="9" s="1"/>
  <c r="W4" i="9" s="1"/>
  <c r="P6" i="9"/>
  <c r="Q6" i="9" s="1"/>
  <c r="R6" i="9" s="1"/>
  <c r="S6" i="9" s="1"/>
  <c r="T6" i="9" s="1"/>
  <c r="U6" i="9" s="1"/>
  <c r="V6" i="9" s="1"/>
  <c r="P7" i="9"/>
  <c r="Q7" i="9" s="1"/>
  <c r="R7" i="9" s="1"/>
  <c r="S7" i="9" s="1"/>
  <c r="T7" i="9" s="1"/>
  <c r="U7" i="9" s="1"/>
  <c r="V7" i="9" s="1"/>
  <c r="P8" i="9"/>
  <c r="Q8" i="9" s="1"/>
  <c r="R8" i="9" s="1"/>
  <c r="S8" i="9" s="1"/>
  <c r="T8" i="9" s="1"/>
  <c r="U8" i="9" s="1"/>
  <c r="V8" i="9" s="1"/>
  <c r="W8" i="9" s="1"/>
  <c r="H3" i="9"/>
  <c r="G9" i="9"/>
  <c r="M15" i="4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K15" i="4"/>
  <c r="K21" i="4" s="1"/>
  <c r="AF17" i="4"/>
  <c r="I3" i="9" l="1"/>
  <c r="H9" i="9"/>
  <c r="X5" i="9"/>
  <c r="Y5" i="9" s="1"/>
  <c r="Z5" i="9" s="1"/>
  <c r="X4" i="9"/>
  <c r="Y4" i="9" s="1"/>
  <c r="Z4" i="9" s="1"/>
  <c r="X8" i="9"/>
  <c r="Y8" i="9" s="1"/>
  <c r="Z8" i="9" s="1"/>
  <c r="W6" i="9"/>
  <c r="X6" i="9" s="1"/>
  <c r="Y6" i="9" s="1"/>
  <c r="Z6" i="9" s="1"/>
  <c r="W7" i="9"/>
  <c r="X7" i="9" s="1"/>
  <c r="Y7" i="9" s="1"/>
  <c r="Z7" i="9" s="1"/>
  <c r="J15" i="4"/>
  <c r="J21" i="4" s="1"/>
  <c r="AG17" i="4"/>
  <c r="AA4" i="9" l="1"/>
  <c r="AB4" i="9" s="1"/>
  <c r="AC4" i="9" s="1"/>
  <c r="AD4" i="9" s="1"/>
  <c r="J3" i="9"/>
  <c r="I9" i="9"/>
  <c r="I15" i="4"/>
  <c r="I21" i="4" s="1"/>
  <c r="AH17" i="4"/>
  <c r="G33" i="8"/>
  <c r="E38" i="8"/>
  <c r="G37" i="8"/>
  <c r="G36" i="8"/>
  <c r="G35" i="8"/>
  <c r="G34" i="8"/>
  <c r="AA5" i="9" l="1"/>
  <c r="AB5" i="9" s="1"/>
  <c r="AC5" i="9" s="1"/>
  <c r="AD5" i="9" s="1"/>
  <c r="D5" i="9"/>
  <c r="AA8" i="9"/>
  <c r="AB8" i="9" s="1"/>
  <c r="AC8" i="9" s="1"/>
  <c r="AD8" i="9" s="1"/>
  <c r="AA6" i="9"/>
  <c r="AB6" i="9" s="1"/>
  <c r="AC6" i="9" s="1"/>
  <c r="AD6" i="9" s="1"/>
  <c r="D6" i="9"/>
  <c r="F15" i="12" s="1"/>
  <c r="AA7" i="9"/>
  <c r="AB7" i="9" s="1"/>
  <c r="AC7" i="9" s="1"/>
  <c r="AD7" i="9" s="1"/>
  <c r="D4" i="9"/>
  <c r="D15" i="12" s="1"/>
  <c r="K3" i="9"/>
  <c r="J9" i="9"/>
  <c r="AI17" i="4"/>
  <c r="D58" i="12" l="1"/>
  <c r="D59" i="12" s="1"/>
  <c r="D5" i="15"/>
  <c r="D6" i="15" s="1"/>
  <c r="F58" i="12"/>
  <c r="F59" i="12" s="1"/>
  <c r="F5" i="15"/>
  <c r="F6" i="15" s="1"/>
  <c r="D8" i="9"/>
  <c r="H15" i="12" s="1"/>
  <c r="C11" i="3"/>
  <c r="C7" i="3"/>
  <c r="D7" i="9"/>
  <c r="G15" i="12" s="1"/>
  <c r="G5" i="15" s="1"/>
  <c r="G6" i="15" s="1"/>
  <c r="F21" i="12"/>
  <c r="F17" i="12"/>
  <c r="E15" i="12"/>
  <c r="C8" i="3"/>
  <c r="C9" i="3"/>
  <c r="D21" i="12"/>
  <c r="D23" i="12" s="1"/>
  <c r="G45" i="8" s="1"/>
  <c r="C7" i="13"/>
  <c r="C100" i="13" s="1"/>
  <c r="L3" i="9"/>
  <c r="K9" i="9"/>
  <c r="F15" i="4"/>
  <c r="E25" i="8"/>
  <c r="B12" i="8"/>
  <c r="B11" i="8"/>
  <c r="B10" i="8"/>
  <c r="B9" i="8"/>
  <c r="B8" i="8"/>
  <c r="B7" i="8"/>
  <c r="J32" i="7"/>
  <c r="J54" i="7" s="1"/>
  <c r="V28" i="7"/>
  <c r="V33" i="7" s="1"/>
  <c r="S27" i="7"/>
  <c r="S33" i="7" s="1"/>
  <c r="P27" i="7"/>
  <c r="P33" i="7" s="1"/>
  <c r="E28" i="7"/>
  <c r="E30" i="7"/>
  <c r="E29" i="7"/>
  <c r="E27" i="7"/>
  <c r="E32" i="7"/>
  <c r="E31" i="7"/>
  <c r="H32" i="7"/>
  <c r="H28" i="7"/>
  <c r="N27" i="7"/>
  <c r="T28" i="7"/>
  <c r="T33" i="7" s="1"/>
  <c r="Q27" i="7"/>
  <c r="Q33" i="7" s="1"/>
  <c r="B28" i="7"/>
  <c r="H7" i="7"/>
  <c r="E21" i="7"/>
  <c r="D18" i="7"/>
  <c r="G7" i="7"/>
  <c r="E17" i="7"/>
  <c r="E19" i="7"/>
  <c r="B18" i="7"/>
  <c r="I28" i="7" l="1"/>
  <c r="H50" i="7"/>
  <c r="E18" i="7"/>
  <c r="I32" i="7"/>
  <c r="H54" i="7"/>
  <c r="Y54" i="7"/>
  <c r="J55" i="7"/>
  <c r="H58" i="12"/>
  <c r="H59" i="12" s="1"/>
  <c r="H5" i="15"/>
  <c r="H6" i="15" s="1"/>
  <c r="G18" i="15"/>
  <c r="G21" i="15" s="1"/>
  <c r="G13" i="15"/>
  <c r="G10" i="15"/>
  <c r="D10" i="15"/>
  <c r="D13" i="15"/>
  <c r="D18" i="15"/>
  <c r="D21" i="15" s="1"/>
  <c r="F13" i="15"/>
  <c r="F10" i="15"/>
  <c r="F18" i="15"/>
  <c r="F21" i="15" s="1"/>
  <c r="E58" i="12"/>
  <c r="E59" i="12" s="1"/>
  <c r="E5" i="15"/>
  <c r="E6" i="15" s="1"/>
  <c r="G21" i="12"/>
  <c r="G58" i="12"/>
  <c r="G59" i="12" s="1"/>
  <c r="H17" i="12"/>
  <c r="H21" i="12"/>
  <c r="C10" i="3"/>
  <c r="G17" i="12"/>
  <c r="F23" i="12"/>
  <c r="E21" i="12"/>
  <c r="E17" i="12"/>
  <c r="C71" i="13"/>
  <c r="N33" i="7"/>
  <c r="O27" i="7"/>
  <c r="O49" i="7" s="1"/>
  <c r="R27" i="7"/>
  <c r="R49" i="7" s="1"/>
  <c r="Q49" i="7" s="1"/>
  <c r="Q55" i="7" s="1"/>
  <c r="G27" i="7"/>
  <c r="F27" i="7" s="1"/>
  <c r="H33" i="7"/>
  <c r="W28" i="7"/>
  <c r="C102" i="13"/>
  <c r="M3" i="9"/>
  <c r="L9" i="9"/>
  <c r="W31" i="7"/>
  <c r="G31" i="7"/>
  <c r="Y31" i="7" s="1"/>
  <c r="E11" i="8" s="1"/>
  <c r="G11" i="8" s="1"/>
  <c r="W32" i="7"/>
  <c r="G32" i="7"/>
  <c r="Y32" i="7" s="1"/>
  <c r="E12" i="8" s="1"/>
  <c r="G12" i="8" s="1"/>
  <c r="W29" i="7"/>
  <c r="G29" i="7"/>
  <c r="Y29" i="7" s="1"/>
  <c r="E9" i="8" s="1"/>
  <c r="G9" i="8" s="1"/>
  <c r="W30" i="7"/>
  <c r="G30" i="7"/>
  <c r="Y30" i="7" s="1"/>
  <c r="E10" i="8" s="1"/>
  <c r="G10" i="8" s="1"/>
  <c r="B13" i="8"/>
  <c r="B27" i="7"/>
  <c r="D27" i="7" s="1"/>
  <c r="D28" i="7"/>
  <c r="I54" i="7" l="1"/>
  <c r="W54" i="7"/>
  <c r="X54" i="7" s="1"/>
  <c r="N49" i="7"/>
  <c r="O50" i="7"/>
  <c r="N50" i="7" s="1"/>
  <c r="T50" i="7"/>
  <c r="T55" i="7" s="1"/>
  <c r="I50" i="7"/>
  <c r="H55" i="7"/>
  <c r="I55" i="7" s="1"/>
  <c r="G23" i="12"/>
  <c r="G48" i="8" s="1"/>
  <c r="H13" i="15"/>
  <c r="H10" i="15"/>
  <c r="H18" i="15"/>
  <c r="H21" i="15" s="1"/>
  <c r="K5" i="15"/>
  <c r="E13" i="15"/>
  <c r="E18" i="15"/>
  <c r="E10" i="15"/>
  <c r="K10" i="15" s="1"/>
  <c r="H23" i="12"/>
  <c r="G49" i="8" s="1"/>
  <c r="G47" i="8"/>
  <c r="F49" i="7"/>
  <c r="E49" i="7" s="1"/>
  <c r="F28" i="7"/>
  <c r="F50" i="7" s="1"/>
  <c r="E50" i="7" s="1"/>
  <c r="E23" i="12"/>
  <c r="I17" i="12"/>
  <c r="E55" i="7"/>
  <c r="F55" i="7" s="1"/>
  <c r="W39" i="7"/>
  <c r="W44" i="7" s="1"/>
  <c r="H12" i="8"/>
  <c r="H11" i="8"/>
  <c r="N3" i="9"/>
  <c r="M9" i="9"/>
  <c r="H10" i="8"/>
  <c r="H9" i="8"/>
  <c r="C27" i="7"/>
  <c r="B49" i="7" s="1"/>
  <c r="W27" i="7"/>
  <c r="Z30" i="7"/>
  <c r="Z29" i="7"/>
  <c r="Z32" i="7"/>
  <c r="Z31" i="7"/>
  <c r="B33" i="7"/>
  <c r="W50" i="7" l="1"/>
  <c r="K13" i="15"/>
  <c r="K6" i="15"/>
  <c r="N55" i="7"/>
  <c r="K18" i="15"/>
  <c r="E21" i="15"/>
  <c r="K21" i="15" s="1"/>
  <c r="G46" i="8"/>
  <c r="C49" i="7"/>
  <c r="B55" i="7"/>
  <c r="C55" i="7" s="1"/>
  <c r="W49" i="7"/>
  <c r="W55" i="7" s="1"/>
  <c r="Y27" i="7"/>
  <c r="E7" i="8" s="1"/>
  <c r="G7" i="8" s="1"/>
  <c r="G44" i="7"/>
  <c r="Y44" i="7" s="1"/>
  <c r="Z39" i="7"/>
  <c r="O3" i="9"/>
  <c r="P3" i="9" s="1"/>
  <c r="N9" i="9"/>
  <c r="D33" i="7"/>
  <c r="F17" i="4"/>
  <c r="B15" i="7"/>
  <c r="J10" i="7"/>
  <c r="J9" i="7"/>
  <c r="J7" i="7"/>
  <c r="E8" i="7"/>
  <c r="E5" i="7"/>
  <c r="P11" i="7"/>
  <c r="N11" i="7"/>
  <c r="P10" i="7"/>
  <c r="N10" i="7"/>
  <c r="Q10" i="7" s="1"/>
  <c r="P9" i="7"/>
  <c r="N9" i="7"/>
  <c r="P8" i="7"/>
  <c r="N8" i="7"/>
  <c r="P7" i="7"/>
  <c r="P5" i="7"/>
  <c r="N5" i="7"/>
  <c r="D12" i="7"/>
  <c r="Z27" i="7" l="1"/>
  <c r="H7" i="8"/>
  <c r="E44" i="7"/>
  <c r="Z44" i="7" s="1"/>
  <c r="O9" i="9"/>
  <c r="Q9" i="7"/>
  <c r="G6" i="7"/>
  <c r="Q8" i="7"/>
  <c r="D15" i="7"/>
  <c r="E15" i="7" s="1"/>
  <c r="Q5" i="7"/>
  <c r="E16" i="7"/>
  <c r="Q3" i="9" l="1"/>
  <c r="P9" i="9"/>
  <c r="B6" i="7"/>
  <c r="G12" i="7"/>
  <c r="H6" i="7"/>
  <c r="H12" i="7" s="1"/>
  <c r="S55" i="7" l="1"/>
  <c r="X49" i="7"/>
  <c r="F19" i="8" s="1"/>
  <c r="F32" i="8" s="1"/>
  <c r="J6" i="7"/>
  <c r="P6" i="7"/>
  <c r="R3" i="9"/>
  <c r="Q9" i="9"/>
  <c r="E6" i="7"/>
  <c r="N6" i="7"/>
  <c r="E33" i="7"/>
  <c r="W33" i="7" s="1"/>
  <c r="J12" i="7"/>
  <c r="P12" i="7"/>
  <c r="G19" i="8" l="1"/>
  <c r="F25" i="8"/>
  <c r="G25" i="8"/>
  <c r="S3" i="9"/>
  <c r="R9" i="9"/>
  <c r="G28" i="7"/>
  <c r="Q6" i="7"/>
  <c r="G32" i="8" l="1"/>
  <c r="F38" i="8"/>
  <c r="G38" i="8" s="1"/>
  <c r="T3" i="9"/>
  <c r="S9" i="9"/>
  <c r="G33" i="7"/>
  <c r="V50" i="7" s="1"/>
  <c r="Y50" i="7" s="1"/>
  <c r="Y55" i="7" s="1"/>
  <c r="C32" i="4"/>
  <c r="B32" i="4"/>
  <c r="V55" i="7" l="1"/>
  <c r="X55" i="7" s="1"/>
  <c r="X50" i="7"/>
  <c r="U3" i="9"/>
  <c r="T9" i="9"/>
  <c r="Z16" i="4"/>
  <c r="R16" i="4"/>
  <c r="J16" i="4"/>
  <c r="V16" i="4"/>
  <c r="AB16" i="4"/>
  <c r="Y16" i="4"/>
  <c r="Q16" i="4"/>
  <c r="I16" i="4"/>
  <c r="P16" i="4"/>
  <c r="N16" i="4"/>
  <c r="X16" i="4"/>
  <c r="L16" i="4"/>
  <c r="AE16" i="4"/>
  <c r="W16" i="4"/>
  <c r="O16" i="4"/>
  <c r="AD16" i="4"/>
  <c r="AC16" i="4"/>
  <c r="M16" i="4"/>
  <c r="T16" i="4"/>
  <c r="U16" i="4"/>
  <c r="AA16" i="4"/>
  <c r="S16" i="4"/>
  <c r="K16" i="4"/>
  <c r="AF16" i="4"/>
  <c r="AG16" i="4"/>
  <c r="AH16" i="4"/>
  <c r="AI16" i="4"/>
  <c r="U9" i="9" l="1"/>
  <c r="V3" i="9"/>
  <c r="F16" i="4"/>
  <c r="L31" i="3"/>
  <c r="J31" i="3"/>
  <c r="I31" i="3"/>
  <c r="H31" i="3"/>
  <c r="F31" i="3"/>
  <c r="D31" i="3"/>
  <c r="B31" i="3"/>
  <c r="V9" i="9" l="1"/>
  <c r="W3" i="9"/>
  <c r="E30" i="3"/>
  <c r="K30" i="3" s="1"/>
  <c r="E29" i="3"/>
  <c r="K29" i="3" s="1"/>
  <c r="G8" i="12" s="1"/>
  <c r="G9" i="12" s="1"/>
  <c r="E28" i="3"/>
  <c r="K28" i="3" s="1"/>
  <c r="E27" i="3"/>
  <c r="K27" i="3" s="1"/>
  <c r="E8" i="12" s="1"/>
  <c r="E9" i="12" s="1"/>
  <c r="E26" i="3"/>
  <c r="K26" i="3" s="1"/>
  <c r="D8" i="12" s="1"/>
  <c r="D9" i="12" s="1"/>
  <c r="E25" i="3"/>
  <c r="F8" i="13" l="1"/>
  <c r="F8" i="12"/>
  <c r="F9" i="12" s="1"/>
  <c r="H8" i="13"/>
  <c r="H8" i="12"/>
  <c r="H9" i="12" s="1"/>
  <c r="M30" i="3"/>
  <c r="D11" i="3" s="1"/>
  <c r="C12" i="8" s="1"/>
  <c r="D12" i="8" s="1"/>
  <c r="N26" i="3"/>
  <c r="E7" i="3" s="1"/>
  <c r="D8" i="13"/>
  <c r="N27" i="3"/>
  <c r="E8" i="3" s="1"/>
  <c r="E8" i="13"/>
  <c r="N30" i="3"/>
  <c r="E11" i="3" s="1"/>
  <c r="N29" i="3"/>
  <c r="E10" i="3" s="1"/>
  <c r="G8" i="13"/>
  <c r="M28" i="3"/>
  <c r="D9" i="3" s="1"/>
  <c r="C10" i="8" s="1"/>
  <c r="I10" i="8" s="1"/>
  <c r="N28" i="3"/>
  <c r="E9" i="3" s="1"/>
  <c r="M27" i="3"/>
  <c r="D8" i="3" s="1"/>
  <c r="C9" i="8" s="1"/>
  <c r="I9" i="8" s="1"/>
  <c r="W9" i="9"/>
  <c r="X3" i="9"/>
  <c r="Y3" i="9" s="1"/>
  <c r="Z3" i="9" s="1"/>
  <c r="E31" i="3"/>
  <c r="K25" i="3"/>
  <c r="M26" i="3"/>
  <c r="D7" i="3" s="1"/>
  <c r="C8" i="8" s="1"/>
  <c r="D8" i="8" s="1"/>
  <c r="M29" i="3"/>
  <c r="D10" i="3" s="1"/>
  <c r="C11" i="8" s="1"/>
  <c r="D11" i="8" s="1"/>
  <c r="G11" i="3" l="1"/>
  <c r="H10" i="13" s="1"/>
  <c r="H9" i="13"/>
  <c r="G9" i="3"/>
  <c r="F10" i="13" s="1"/>
  <c r="F9" i="13"/>
  <c r="G8" i="3"/>
  <c r="E10" i="13" s="1"/>
  <c r="E85" i="13" s="1"/>
  <c r="E87" i="13" s="1"/>
  <c r="E9" i="13"/>
  <c r="H3" i="14"/>
  <c r="H36" i="14" s="1"/>
  <c r="G7" i="3"/>
  <c r="D10" i="13" s="1"/>
  <c r="D122" i="13" s="1"/>
  <c r="D9" i="13"/>
  <c r="G10" i="3"/>
  <c r="G10" i="13" s="1"/>
  <c r="G9" i="13"/>
  <c r="I12" i="8"/>
  <c r="H122" i="13"/>
  <c r="D10" i="8"/>
  <c r="I11" i="8"/>
  <c r="F9" i="3"/>
  <c r="C22" i="8" s="1"/>
  <c r="C8" i="13"/>
  <c r="C8" i="12"/>
  <c r="G85" i="13"/>
  <c r="G3" i="14"/>
  <c r="G36" i="14" s="1"/>
  <c r="F123" i="13"/>
  <c r="H123" i="13"/>
  <c r="G122" i="13"/>
  <c r="D9" i="8"/>
  <c r="F10" i="3"/>
  <c r="C23" i="8" s="1"/>
  <c r="G133" i="13"/>
  <c r="G128" i="13" s="1"/>
  <c r="E133" i="13"/>
  <c r="E128" i="13" s="1"/>
  <c r="F11" i="3"/>
  <c r="C24" i="8" s="1"/>
  <c r="X9" i="9"/>
  <c r="N25" i="3"/>
  <c r="E6" i="3" s="1"/>
  <c r="M25" i="3"/>
  <c r="D6" i="3" s="1"/>
  <c r="K31" i="3"/>
  <c r="C13" i="5"/>
  <c r="D14" i="5"/>
  <c r="E13" i="5"/>
  <c r="E14" i="5" s="1"/>
  <c r="F13" i="5"/>
  <c r="F14" i="5" s="1"/>
  <c r="G13" i="5"/>
  <c r="G14" i="5" s="1"/>
  <c r="H13" i="5"/>
  <c r="H14" i="5" s="1"/>
  <c r="J6" i="4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9" i="4"/>
  <c r="I10" i="4"/>
  <c r="J10" i="4"/>
  <c r="K10" i="4"/>
  <c r="L10" i="4"/>
  <c r="M11" i="4"/>
  <c r="I12" i="4"/>
  <c r="J12" i="4"/>
  <c r="K12" i="4"/>
  <c r="L12" i="4"/>
  <c r="M13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I18" i="4"/>
  <c r="J18" i="4"/>
  <c r="K18" i="4"/>
  <c r="L18" i="4"/>
  <c r="M19" i="4"/>
  <c r="M21" i="4" l="1"/>
  <c r="D3" i="14"/>
  <c r="D36" i="14" s="1"/>
  <c r="F7" i="3"/>
  <c r="C20" i="8" s="1"/>
  <c r="E122" i="13"/>
  <c r="D85" i="13"/>
  <c r="H51" i="14"/>
  <c r="D133" i="13"/>
  <c r="D128" i="13" s="1"/>
  <c r="H23" i="14"/>
  <c r="H24" i="14" s="1"/>
  <c r="H25" i="14" s="1"/>
  <c r="H38" i="14" s="1"/>
  <c r="F122" i="13"/>
  <c r="F133" i="13"/>
  <c r="F128" i="13" s="1"/>
  <c r="F85" i="13"/>
  <c r="F87" i="13" s="1"/>
  <c r="F130" i="13" s="1"/>
  <c r="F3" i="14"/>
  <c r="F8" i="3"/>
  <c r="C21" i="8" s="1"/>
  <c r="E3" i="14"/>
  <c r="E10" i="14" s="1"/>
  <c r="H9" i="14"/>
  <c r="H49" i="14" s="1"/>
  <c r="G6" i="3"/>
  <c r="C10" i="13" s="1"/>
  <c r="C133" i="13" s="1"/>
  <c r="C128" i="13" s="1"/>
  <c r="C9" i="13"/>
  <c r="H10" i="14"/>
  <c r="H85" i="13"/>
  <c r="H133" i="13"/>
  <c r="H128" i="13" s="1"/>
  <c r="I8" i="13"/>
  <c r="L20" i="4"/>
  <c r="C9" i="12"/>
  <c r="I8" i="12"/>
  <c r="I9" i="12" s="1"/>
  <c r="J20" i="4"/>
  <c r="F59" i="15" s="1"/>
  <c r="K20" i="4"/>
  <c r="I20" i="4"/>
  <c r="H82" i="15"/>
  <c r="H83" i="15" s="1"/>
  <c r="H77" i="15"/>
  <c r="H78" i="15" s="1"/>
  <c r="H53" i="15"/>
  <c r="H54" i="15" s="1"/>
  <c r="H42" i="15"/>
  <c r="E71" i="15"/>
  <c r="E72" i="15" s="1"/>
  <c r="E77" i="15"/>
  <c r="E78" i="15" s="1"/>
  <c r="E65" i="15"/>
  <c r="E66" i="15" s="1"/>
  <c r="E53" i="15"/>
  <c r="E54" i="15" s="1"/>
  <c r="E82" i="15"/>
  <c r="E83" i="15" s="1"/>
  <c r="E42" i="15"/>
  <c r="F71" i="15"/>
  <c r="F72" i="15" s="1"/>
  <c r="F77" i="15"/>
  <c r="F78" i="15" s="1"/>
  <c r="F53" i="15"/>
  <c r="F54" i="15" s="1"/>
  <c r="F82" i="15"/>
  <c r="F83" i="15" s="1"/>
  <c r="F65" i="15"/>
  <c r="F66" i="15" s="1"/>
  <c r="F42" i="15"/>
  <c r="G51" i="14"/>
  <c r="G10" i="14"/>
  <c r="G9" i="14"/>
  <c r="G49" i="14" s="1"/>
  <c r="G23" i="14"/>
  <c r="D10" i="14"/>
  <c r="D9" i="14"/>
  <c r="D49" i="14" s="1"/>
  <c r="D23" i="14"/>
  <c r="H136" i="13"/>
  <c r="H135" i="13" s="1"/>
  <c r="H129" i="13" s="1"/>
  <c r="F136" i="13"/>
  <c r="F135" i="13" s="1"/>
  <c r="F129" i="13" s="1"/>
  <c r="E123" i="13"/>
  <c r="D123" i="13"/>
  <c r="G123" i="13"/>
  <c r="F139" i="13"/>
  <c r="C123" i="13"/>
  <c r="Y9" i="9"/>
  <c r="N13" i="4"/>
  <c r="N12" i="4" s="1"/>
  <c r="N11" i="4"/>
  <c r="N31" i="3"/>
  <c r="E12" i="3" s="1"/>
  <c r="M31" i="3"/>
  <c r="D12" i="3" s="1"/>
  <c r="C7" i="8"/>
  <c r="F6" i="3"/>
  <c r="C19" i="8" s="1"/>
  <c r="J13" i="5"/>
  <c r="J14" i="5" s="1"/>
  <c r="N19" i="4"/>
  <c r="AH9" i="4"/>
  <c r="AG14" i="4"/>
  <c r="C14" i="5"/>
  <c r="M18" i="4"/>
  <c r="AF14" i="4"/>
  <c r="M12" i="4"/>
  <c r="M10" i="4"/>
  <c r="AG8" i="4"/>
  <c r="F124" i="13" l="1"/>
  <c r="D51" i="14"/>
  <c r="C3" i="14"/>
  <c r="H50" i="14"/>
  <c r="H52" i="14" s="1"/>
  <c r="C122" i="13"/>
  <c r="E23" i="14"/>
  <c r="E24" i="14" s="1"/>
  <c r="E25" i="14" s="1"/>
  <c r="E36" i="14"/>
  <c r="E51" i="14" s="1"/>
  <c r="C85" i="13"/>
  <c r="E9" i="14"/>
  <c r="E49" i="14" s="1"/>
  <c r="K3" i="14"/>
  <c r="K10" i="14" s="1"/>
  <c r="N10" i="4"/>
  <c r="N21" i="4"/>
  <c r="G12" i="3"/>
  <c r="I10" i="13" s="1"/>
  <c r="I9" i="13"/>
  <c r="F36" i="14"/>
  <c r="F10" i="14"/>
  <c r="F23" i="14"/>
  <c r="K23" i="14" s="1"/>
  <c r="F9" i="14"/>
  <c r="F49" i="14" s="1"/>
  <c r="I39" i="3"/>
  <c r="H37" i="3"/>
  <c r="F37" i="3"/>
  <c r="I42" i="3"/>
  <c r="D37" i="3"/>
  <c r="I40" i="3"/>
  <c r="H38" i="3"/>
  <c r="F38" i="3"/>
  <c r="I38" i="3"/>
  <c r="D42" i="3"/>
  <c r="I41" i="3"/>
  <c r="I37" i="3"/>
  <c r="D41" i="3"/>
  <c r="H40" i="3"/>
  <c r="H42" i="3"/>
  <c r="D40" i="3"/>
  <c r="F40" i="3"/>
  <c r="H39" i="3"/>
  <c r="F39" i="3"/>
  <c r="H41" i="3"/>
  <c r="D39" i="3"/>
  <c r="D38" i="3"/>
  <c r="M20" i="4"/>
  <c r="H63" i="14"/>
  <c r="E63" i="14"/>
  <c r="C63" i="14"/>
  <c r="G63" i="14"/>
  <c r="D57" i="15"/>
  <c r="F57" i="15"/>
  <c r="G57" i="15"/>
  <c r="D62" i="14"/>
  <c r="F63" i="14"/>
  <c r="C57" i="15"/>
  <c r="H57" i="15"/>
  <c r="G62" i="14"/>
  <c r="D63" i="14"/>
  <c r="E62" i="14"/>
  <c r="E57" i="15"/>
  <c r="H62" i="14"/>
  <c r="F62" i="14"/>
  <c r="C62" i="14"/>
  <c r="E61" i="14"/>
  <c r="G61" i="14"/>
  <c r="F61" i="14"/>
  <c r="H61" i="14"/>
  <c r="D61" i="14"/>
  <c r="C61" i="14"/>
  <c r="D58" i="15"/>
  <c r="E58" i="15"/>
  <c r="G58" i="15"/>
  <c r="F58" i="15"/>
  <c r="C58" i="15"/>
  <c r="H58" i="15"/>
  <c r="O13" i="4"/>
  <c r="P13" i="4" s="1"/>
  <c r="H59" i="15"/>
  <c r="E59" i="15"/>
  <c r="G82" i="15"/>
  <c r="G83" i="15" s="1"/>
  <c r="G77" i="15"/>
  <c r="G78" i="15" s="1"/>
  <c r="G59" i="15"/>
  <c r="G53" i="15"/>
  <c r="G54" i="15" s="1"/>
  <c r="G42" i="15"/>
  <c r="D77" i="15"/>
  <c r="D78" i="15" s="1"/>
  <c r="D71" i="15"/>
  <c r="D72" i="15" s="1"/>
  <c r="D82" i="15"/>
  <c r="D83" i="15" s="1"/>
  <c r="D59" i="15"/>
  <c r="D65" i="15"/>
  <c r="D66" i="15" s="1"/>
  <c r="D53" i="15"/>
  <c r="D54" i="15" s="1"/>
  <c r="D42" i="15"/>
  <c r="C77" i="15"/>
  <c r="I41" i="15"/>
  <c r="I42" i="15" s="1"/>
  <c r="C59" i="15"/>
  <c r="C71" i="15"/>
  <c r="C53" i="15"/>
  <c r="C65" i="15"/>
  <c r="C82" i="15"/>
  <c r="C42" i="15"/>
  <c r="E50" i="14"/>
  <c r="G24" i="14"/>
  <c r="G25" i="14" s="1"/>
  <c r="G38" i="14" s="1"/>
  <c r="G50" i="14"/>
  <c r="G52" i="14" s="1"/>
  <c r="D24" i="14"/>
  <c r="D25" i="14" s="1"/>
  <c r="D38" i="14" s="1"/>
  <c r="D50" i="14"/>
  <c r="D52" i="14" s="1"/>
  <c r="J3" i="14"/>
  <c r="J10" i="14" s="1"/>
  <c r="C36" i="14"/>
  <c r="C51" i="14" s="1"/>
  <c r="K36" i="14"/>
  <c r="K37" i="14" s="1"/>
  <c r="C10" i="14"/>
  <c r="C9" i="14"/>
  <c r="C23" i="14"/>
  <c r="G136" i="13"/>
  <c r="G135" i="13" s="1"/>
  <c r="G129" i="13" s="1"/>
  <c r="D136" i="13"/>
  <c r="D135" i="13" s="1"/>
  <c r="D129" i="13" s="1"/>
  <c r="E136" i="13"/>
  <c r="E135" i="13" s="1"/>
  <c r="E129" i="13" s="1"/>
  <c r="D139" i="13"/>
  <c r="D87" i="13"/>
  <c r="D137" i="13" s="1"/>
  <c r="E139" i="13"/>
  <c r="E137" i="13"/>
  <c r="G139" i="13"/>
  <c r="G87" i="13"/>
  <c r="G137" i="13" s="1"/>
  <c r="D124" i="13"/>
  <c r="F137" i="13"/>
  <c r="F138" i="13" s="1"/>
  <c r="E124" i="13"/>
  <c r="G124" i="13"/>
  <c r="I123" i="13"/>
  <c r="O11" i="4"/>
  <c r="F12" i="3"/>
  <c r="C25" i="8" s="1"/>
  <c r="AA3" i="9"/>
  <c r="Z9" i="9"/>
  <c r="D19" i="8"/>
  <c r="J19" i="8" s="1"/>
  <c r="D7" i="8"/>
  <c r="D13" i="8" s="1"/>
  <c r="C13" i="8"/>
  <c r="I7" i="8"/>
  <c r="O19" i="4"/>
  <c r="O18" i="4" s="1"/>
  <c r="AI9" i="4"/>
  <c r="N18" i="4"/>
  <c r="N20" i="4" s="1"/>
  <c r="AH8" i="4"/>
  <c r="AH14" i="4"/>
  <c r="I83" i="13" l="1"/>
  <c r="I85" i="13" s="1"/>
  <c r="K9" i="14"/>
  <c r="E52" i="14"/>
  <c r="E38" i="3"/>
  <c r="F24" i="14"/>
  <c r="F25" i="14" s="1"/>
  <c r="F50" i="14"/>
  <c r="E39" i="3"/>
  <c r="E41" i="3"/>
  <c r="E37" i="3"/>
  <c r="F51" i="14"/>
  <c r="I51" i="14" s="1"/>
  <c r="AI8" i="4"/>
  <c r="O10" i="4"/>
  <c r="O21" i="4"/>
  <c r="E42" i="3"/>
  <c r="I3" i="14"/>
  <c r="I133" i="13"/>
  <c r="I128" i="13" s="1"/>
  <c r="E40" i="3"/>
  <c r="I19" i="8"/>
  <c r="F60" i="15"/>
  <c r="P11" i="4"/>
  <c r="O12" i="4"/>
  <c r="G60" i="15"/>
  <c r="D60" i="15"/>
  <c r="I57" i="15"/>
  <c r="D64" i="14"/>
  <c r="I58" i="15"/>
  <c r="E60" i="15"/>
  <c r="I62" i="14"/>
  <c r="H60" i="15"/>
  <c r="I61" i="14"/>
  <c r="I77" i="15"/>
  <c r="I78" i="15" s="1"/>
  <c r="C78" i="15"/>
  <c r="I71" i="15"/>
  <c r="I72" i="15" s="1"/>
  <c r="C72" i="15"/>
  <c r="I82" i="15"/>
  <c r="I83" i="15" s="1"/>
  <c r="C83" i="15"/>
  <c r="I65" i="15"/>
  <c r="I66" i="15" s="1"/>
  <c r="C66" i="15"/>
  <c r="I53" i="15"/>
  <c r="I54" i="15" s="1"/>
  <c r="C54" i="15"/>
  <c r="I59" i="15"/>
  <c r="C60" i="15"/>
  <c r="C24" i="14"/>
  <c r="C25" i="14" s="1"/>
  <c r="C50" i="14"/>
  <c r="J9" i="14"/>
  <c r="C49" i="14"/>
  <c r="K24" i="14"/>
  <c r="K25" i="14" s="1"/>
  <c r="K38" i="14" s="1"/>
  <c r="E38" i="14"/>
  <c r="J23" i="14"/>
  <c r="J36" i="14"/>
  <c r="J37" i="14" s="1"/>
  <c r="I36" i="14"/>
  <c r="D138" i="13"/>
  <c r="G138" i="13"/>
  <c r="I23" i="14"/>
  <c r="I24" i="14" s="1"/>
  <c r="E138" i="13"/>
  <c r="C136" i="13"/>
  <c r="C135" i="13" s="1"/>
  <c r="C129" i="13" s="1"/>
  <c r="D130" i="13"/>
  <c r="G130" i="13"/>
  <c r="E130" i="13"/>
  <c r="AB3" i="9"/>
  <c r="AA9" i="9"/>
  <c r="P19" i="4"/>
  <c r="AI14" i="4"/>
  <c r="F14" i="4" s="1"/>
  <c r="P12" i="4"/>
  <c r="Q13" i="4"/>
  <c r="F52" i="14" l="1"/>
  <c r="I9" i="14"/>
  <c r="I10" i="14"/>
  <c r="F38" i="14"/>
  <c r="O20" i="4"/>
  <c r="E43" i="3"/>
  <c r="I50" i="14"/>
  <c r="Q11" i="4"/>
  <c r="P21" i="4"/>
  <c r="P18" i="4"/>
  <c r="P10" i="4"/>
  <c r="Q19" i="4"/>
  <c r="I60" i="15"/>
  <c r="C52" i="14"/>
  <c r="I49" i="14"/>
  <c r="C38" i="14"/>
  <c r="J24" i="14"/>
  <c r="J25" i="14" s="1"/>
  <c r="J38" i="14" s="1"/>
  <c r="I25" i="14"/>
  <c r="I38" i="14" s="1"/>
  <c r="AC3" i="9"/>
  <c r="AB9" i="9"/>
  <c r="Q18" i="4"/>
  <c r="R19" i="4"/>
  <c r="Q12" i="4"/>
  <c r="R13" i="4"/>
  <c r="R11" i="4" l="1"/>
  <c r="Q21" i="4"/>
  <c r="Q10" i="4"/>
  <c r="I52" i="14"/>
  <c r="P20" i="4"/>
  <c r="Q20" i="4"/>
  <c r="AD3" i="9"/>
  <c r="AC9" i="9"/>
  <c r="R18" i="4"/>
  <c r="S19" i="4"/>
  <c r="R12" i="4"/>
  <c r="S13" i="4"/>
  <c r="R21" i="4" l="1"/>
  <c r="S11" i="4"/>
  <c r="R10" i="4"/>
  <c r="R20" i="4"/>
  <c r="AD9" i="9"/>
  <c r="F9" i="4"/>
  <c r="S12" i="4"/>
  <c r="T13" i="4"/>
  <c r="S18" i="4"/>
  <c r="T19" i="4"/>
  <c r="S21" i="4" l="1"/>
  <c r="T11" i="4"/>
  <c r="S10" i="4"/>
  <c r="S20" i="4" s="1"/>
  <c r="T12" i="4"/>
  <c r="U13" i="4"/>
  <c r="T18" i="4"/>
  <c r="U19" i="4"/>
  <c r="T21" i="4" l="1"/>
  <c r="U11" i="4"/>
  <c r="T10" i="4"/>
  <c r="T20" i="4"/>
  <c r="F8" i="4"/>
  <c r="U18" i="4"/>
  <c r="V19" i="4"/>
  <c r="U12" i="4"/>
  <c r="V13" i="4"/>
  <c r="U21" i="4" l="1"/>
  <c r="U10" i="4"/>
  <c r="U20" i="4" s="1"/>
  <c r="V11" i="4"/>
  <c r="V18" i="4"/>
  <c r="W19" i="4"/>
  <c r="V12" i="4"/>
  <c r="W13" i="4"/>
  <c r="V21" i="4" l="1"/>
  <c r="W11" i="4"/>
  <c r="V10" i="4"/>
  <c r="V20" i="4"/>
  <c r="W18" i="4"/>
  <c r="X19" i="4"/>
  <c r="W12" i="4"/>
  <c r="X13" i="4"/>
  <c r="W21" i="4" l="1"/>
  <c r="W10" i="4"/>
  <c r="X11" i="4"/>
  <c r="W20" i="4"/>
  <c r="D9" i="9"/>
  <c r="I15" i="12" s="1"/>
  <c r="I5" i="15" s="1"/>
  <c r="I6" i="15" s="1"/>
  <c r="D3" i="9"/>
  <c r="C15" i="12" s="1"/>
  <c r="X12" i="4"/>
  <c r="Y13" i="4"/>
  <c r="X18" i="4"/>
  <c r="Y19" i="4"/>
  <c r="X21" i="4" l="1"/>
  <c r="Y11" i="4"/>
  <c r="X10" i="4"/>
  <c r="X20" i="4"/>
  <c r="C58" i="12"/>
  <c r="C59" i="12" s="1"/>
  <c r="I59" i="12" s="1"/>
  <c r="C5" i="15"/>
  <c r="C6" i="15" s="1"/>
  <c r="I10" i="15"/>
  <c r="I13" i="15"/>
  <c r="C21" i="12"/>
  <c r="C12" i="3"/>
  <c r="C6" i="3"/>
  <c r="Y18" i="4"/>
  <c r="Z19" i="4"/>
  <c r="Y12" i="4"/>
  <c r="Z13" i="4"/>
  <c r="I58" i="12" l="1"/>
  <c r="Y21" i="4"/>
  <c r="Z11" i="4"/>
  <c r="Y10" i="4"/>
  <c r="Y20" i="4" s="1"/>
  <c r="J5" i="15"/>
  <c r="J6" i="15" s="1"/>
  <c r="C10" i="15"/>
  <c r="J10" i="15" s="1"/>
  <c r="C13" i="15"/>
  <c r="C18" i="15"/>
  <c r="I21" i="12"/>
  <c r="C23" i="12"/>
  <c r="Z12" i="4"/>
  <c r="AA13" i="4"/>
  <c r="Z18" i="4"/>
  <c r="AA19" i="4"/>
  <c r="D22" i="7"/>
  <c r="B22" i="7"/>
  <c r="B12" i="7"/>
  <c r="N12" i="7" s="1"/>
  <c r="E7" i="7"/>
  <c r="N7" i="7"/>
  <c r="Z21" i="4" l="1"/>
  <c r="Z10" i="4"/>
  <c r="AA11" i="4"/>
  <c r="Z20" i="4"/>
  <c r="J18" i="15"/>
  <c r="I18" i="15"/>
  <c r="C21" i="15"/>
  <c r="J13" i="15"/>
  <c r="G44" i="8"/>
  <c r="I23" i="12"/>
  <c r="E22" i="7"/>
  <c r="E12" i="7"/>
  <c r="AA18" i="4"/>
  <c r="AB19" i="4"/>
  <c r="AA12" i="4"/>
  <c r="AB13" i="4"/>
  <c r="Q7" i="7"/>
  <c r="Q12" i="7"/>
  <c r="AA21" i="4" l="1"/>
  <c r="AB11" i="4"/>
  <c r="AA10" i="4"/>
  <c r="AA20" i="4"/>
  <c r="I21" i="15"/>
  <c r="J21" i="15"/>
  <c r="AB18" i="4"/>
  <c r="AC19" i="4"/>
  <c r="AB12" i="4"/>
  <c r="AC13" i="4"/>
  <c r="J33" i="7"/>
  <c r="Y28" i="7"/>
  <c r="Y33" i="7" l="1"/>
  <c r="Z33" i="7" s="1"/>
  <c r="I33" i="7"/>
  <c r="AB21" i="4"/>
  <c r="AB10" i="4"/>
  <c r="AB20" i="4" s="1"/>
  <c r="AC11" i="4"/>
  <c r="AC12" i="4"/>
  <c r="AD13" i="4"/>
  <c r="AC18" i="4"/>
  <c r="AD19" i="4"/>
  <c r="E8" i="8"/>
  <c r="G8" i="8" s="1"/>
  <c r="G13" i="8" s="1"/>
  <c r="Z28" i="7"/>
  <c r="AC21" i="4" l="1"/>
  <c r="AD11" i="4"/>
  <c r="AC10" i="4"/>
  <c r="AC20" i="4"/>
  <c r="AD12" i="4"/>
  <c r="AE13" i="4"/>
  <c r="AD18" i="4"/>
  <c r="AE19" i="4"/>
  <c r="H8" i="8"/>
  <c r="E13" i="8"/>
  <c r="F13" i="8" s="1"/>
  <c r="AD21" i="4" l="1"/>
  <c r="AE11" i="4"/>
  <c r="AD10" i="4"/>
  <c r="AD20" i="4"/>
  <c r="AE18" i="4"/>
  <c r="AF19" i="4"/>
  <c r="AE12" i="4"/>
  <c r="AF13" i="4"/>
  <c r="H13" i="8"/>
  <c r="I8" i="8"/>
  <c r="AE21" i="4" l="1"/>
  <c r="AF11" i="4"/>
  <c r="AE10" i="4"/>
  <c r="AE20" i="4"/>
  <c r="AF12" i="4"/>
  <c r="AG13" i="4"/>
  <c r="AF18" i="4"/>
  <c r="AG19" i="4"/>
  <c r="I13" i="8"/>
  <c r="AF21" i="4" l="1"/>
  <c r="AG11" i="4"/>
  <c r="AF10" i="4"/>
  <c r="AF20" i="4" s="1"/>
  <c r="AG12" i="4"/>
  <c r="AH13" i="4"/>
  <c r="AG18" i="4"/>
  <c r="AH19" i="4"/>
  <c r="AG21" i="4" l="1"/>
  <c r="AG10" i="4"/>
  <c r="AH11" i="4"/>
  <c r="AG20" i="4"/>
  <c r="D7" i="13"/>
  <c r="D100" i="13" s="1"/>
  <c r="H7" i="13"/>
  <c r="H71" i="13" s="1"/>
  <c r="G7" i="13"/>
  <c r="G100" i="13" s="1"/>
  <c r="G102" i="13" s="1"/>
  <c r="F7" i="13"/>
  <c r="F100" i="13" s="1"/>
  <c r="F102" i="13" s="1"/>
  <c r="E7" i="13"/>
  <c r="E100" i="13" s="1"/>
  <c r="E102" i="13" s="1"/>
  <c r="D24" i="8"/>
  <c r="J24" i="8" s="1"/>
  <c r="I24" i="8" s="1"/>
  <c r="D23" i="8"/>
  <c r="J23" i="8" s="1"/>
  <c r="I23" i="8" s="1"/>
  <c r="D22" i="8"/>
  <c r="J22" i="8" s="1"/>
  <c r="I22" i="8" s="1"/>
  <c r="D20" i="8"/>
  <c r="J20" i="8" s="1"/>
  <c r="D21" i="8"/>
  <c r="J21" i="8" s="1"/>
  <c r="I21" i="8" s="1"/>
  <c r="AH18" i="4"/>
  <c r="AI19" i="4"/>
  <c r="AH12" i="4"/>
  <c r="AI13" i="4"/>
  <c r="B25" i="8"/>
  <c r="AH21" i="4" l="1"/>
  <c r="AI11" i="4"/>
  <c r="AH10" i="4"/>
  <c r="D71" i="13"/>
  <c r="AH20" i="4"/>
  <c r="I20" i="8"/>
  <c r="J25" i="8"/>
  <c r="I25" i="8" s="1"/>
  <c r="H100" i="13"/>
  <c r="H102" i="13" s="1"/>
  <c r="I7" i="13"/>
  <c r="F71" i="13"/>
  <c r="G71" i="13"/>
  <c r="E71" i="13"/>
  <c r="D102" i="13"/>
  <c r="B38" i="8"/>
  <c r="D25" i="8"/>
  <c r="AI12" i="4"/>
  <c r="AI18" i="4"/>
  <c r="AI21" i="4" l="1"/>
  <c r="AI10" i="4"/>
  <c r="AI20" i="4" s="1"/>
  <c r="I100" i="13"/>
  <c r="I71" i="13"/>
  <c r="I102" i="13"/>
  <c r="E46" i="8"/>
  <c r="E49" i="8"/>
  <c r="E48" i="8"/>
  <c r="E45" i="8"/>
  <c r="H38" i="8"/>
  <c r="E47" i="8"/>
  <c r="L43" i="3"/>
  <c r="H46" i="8" l="1"/>
  <c r="F43" i="3"/>
  <c r="H49" i="8"/>
  <c r="H48" i="8"/>
  <c r="H47" i="8"/>
  <c r="H45" i="8"/>
  <c r="H43" i="3"/>
  <c r="I43" i="3"/>
  <c r="D43" i="3"/>
  <c r="F13" i="4"/>
  <c r="F19" i="4"/>
  <c r="F11" i="4"/>
  <c r="F18" i="4" l="1"/>
  <c r="F21" i="4"/>
  <c r="F10" i="4"/>
  <c r="F12" i="4"/>
  <c r="F20" i="4" l="1"/>
  <c r="J41" i="3" l="1"/>
  <c r="K41" i="3" s="1"/>
  <c r="J40" i="3"/>
  <c r="K40" i="3" s="1"/>
  <c r="J39" i="3"/>
  <c r="K39" i="3" s="1"/>
  <c r="J42" i="3"/>
  <c r="K42" i="3" s="1"/>
  <c r="J38" i="3"/>
  <c r="K38" i="3" s="1"/>
  <c r="J37" i="3"/>
  <c r="K37" i="3" s="1"/>
  <c r="F48" i="8"/>
  <c r="N37" i="3" l="1"/>
  <c r="M37" i="3"/>
  <c r="M42" i="3"/>
  <c r="N42" i="3"/>
  <c r="H10" i="12" s="1"/>
  <c r="H3" i="15" s="1"/>
  <c r="M39" i="3"/>
  <c r="N39" i="3"/>
  <c r="M40" i="3"/>
  <c r="N40" i="3"/>
  <c r="M38" i="3"/>
  <c r="N38" i="3"/>
  <c r="M41" i="3"/>
  <c r="N41" i="3"/>
  <c r="G10" i="12" s="1"/>
  <c r="G3" i="15" s="1"/>
  <c r="F49" i="8"/>
  <c r="I10" i="3" l="1"/>
  <c r="C36" i="8"/>
  <c r="C48" i="8"/>
  <c r="G12" i="15"/>
  <c r="G4" i="15"/>
  <c r="G22" i="15"/>
  <c r="G11" i="15"/>
  <c r="G45" i="15" s="1"/>
  <c r="G33" i="15"/>
  <c r="H22" i="15"/>
  <c r="H4" i="15"/>
  <c r="H12" i="15"/>
  <c r="H11" i="15"/>
  <c r="H45" i="15" s="1"/>
  <c r="H33" i="15"/>
  <c r="C49" i="8"/>
  <c r="D49" i="8" s="1"/>
  <c r="I11" i="3"/>
  <c r="C37" i="8"/>
  <c r="D10" i="12"/>
  <c r="E10" i="12"/>
  <c r="J43" i="3"/>
  <c r="F10" i="12"/>
  <c r="G23" i="15" l="1"/>
  <c r="G24" i="15" s="1"/>
  <c r="G46" i="15"/>
  <c r="J11" i="3"/>
  <c r="H11" i="3"/>
  <c r="D48" i="8"/>
  <c r="I48" i="8"/>
  <c r="J48" i="8" s="1"/>
  <c r="D36" i="8"/>
  <c r="I36" i="8"/>
  <c r="J36" i="8" s="1"/>
  <c r="H34" i="15"/>
  <c r="H47" i="15"/>
  <c r="H23" i="15"/>
  <c r="H24" i="15" s="1"/>
  <c r="H46" i="15"/>
  <c r="H48" i="15" s="1"/>
  <c r="J10" i="3"/>
  <c r="H10" i="3"/>
  <c r="I37" i="8"/>
  <c r="J37" i="8" s="1"/>
  <c r="D37" i="8"/>
  <c r="G47" i="15"/>
  <c r="G34" i="15"/>
  <c r="I49" i="8"/>
  <c r="J49" i="8" s="1"/>
  <c r="F3" i="15"/>
  <c r="F4" i="15" s="1"/>
  <c r="E3" i="15"/>
  <c r="E22" i="15" s="1"/>
  <c r="D3" i="15"/>
  <c r="D11" i="15" s="1"/>
  <c r="D45" i="15" s="1"/>
  <c r="F33" i="15"/>
  <c r="K43" i="3"/>
  <c r="C10" i="12"/>
  <c r="I8" i="3"/>
  <c r="C34" i="8"/>
  <c r="C46" i="8"/>
  <c r="D46" i="8" s="1"/>
  <c r="C45" i="8"/>
  <c r="D45" i="8" s="1"/>
  <c r="C33" i="8"/>
  <c r="I7" i="3"/>
  <c r="C47" i="8"/>
  <c r="D47" i="8" s="1"/>
  <c r="I9" i="3"/>
  <c r="C35" i="8"/>
  <c r="G48" i="15" l="1"/>
  <c r="F11" i="15"/>
  <c r="F45" i="15" s="1"/>
  <c r="M43" i="3"/>
  <c r="N43" i="3"/>
  <c r="I10" i="12" s="1"/>
  <c r="F22" i="15"/>
  <c r="F23" i="15" s="1"/>
  <c r="F24" i="15" s="1"/>
  <c r="F25" i="15" s="1"/>
  <c r="H25" i="15"/>
  <c r="H35" i="15"/>
  <c r="H36" i="15" s="1"/>
  <c r="F12" i="15"/>
  <c r="E33" i="15"/>
  <c r="E47" i="15" s="1"/>
  <c r="G35" i="15"/>
  <c r="G36" i="15" s="1"/>
  <c r="G25" i="15"/>
  <c r="E12" i="15"/>
  <c r="E11" i="15"/>
  <c r="K11" i="15" s="1"/>
  <c r="E4" i="15"/>
  <c r="D12" i="15"/>
  <c r="D22" i="15"/>
  <c r="D23" i="15" s="1"/>
  <c r="D24" i="15" s="1"/>
  <c r="D25" i="15" s="1"/>
  <c r="D4" i="15"/>
  <c r="K3" i="15"/>
  <c r="K12" i="15" s="1"/>
  <c r="D33" i="15"/>
  <c r="D47" i="15" s="1"/>
  <c r="C3" i="15"/>
  <c r="C4" i="15" s="1"/>
  <c r="E46" i="15"/>
  <c r="E23" i="15"/>
  <c r="E24" i="15" s="1"/>
  <c r="F47" i="15"/>
  <c r="F34" i="15"/>
  <c r="D34" i="8"/>
  <c r="I34" i="8"/>
  <c r="J34" i="8" s="1"/>
  <c r="J8" i="3"/>
  <c r="H8" i="3"/>
  <c r="I33" i="8"/>
  <c r="J33" i="8" s="1"/>
  <c r="D33" i="8"/>
  <c r="H9" i="3"/>
  <c r="J9" i="3"/>
  <c r="J7" i="3"/>
  <c r="H7" i="3"/>
  <c r="I35" i="8"/>
  <c r="J35" i="8" s="1"/>
  <c r="D35" i="8"/>
  <c r="C44" i="8"/>
  <c r="C32" i="8"/>
  <c r="I6" i="3"/>
  <c r="K22" i="15" l="1"/>
  <c r="K23" i="15" s="1"/>
  <c r="K24" i="15" s="1"/>
  <c r="F46" i="15"/>
  <c r="E34" i="15"/>
  <c r="K33" i="15"/>
  <c r="K34" i="15" s="1"/>
  <c r="K35" i="15" s="1"/>
  <c r="K36" i="15" s="1"/>
  <c r="E45" i="15"/>
  <c r="E48" i="15" s="1"/>
  <c r="D46" i="15"/>
  <c r="D48" i="15" s="1"/>
  <c r="C22" i="15"/>
  <c r="C46" i="15" s="1"/>
  <c r="C11" i="15"/>
  <c r="J11" i="15" s="1"/>
  <c r="K4" i="15"/>
  <c r="C12" i="15"/>
  <c r="J3" i="15"/>
  <c r="J4" i="15" s="1"/>
  <c r="D34" i="15"/>
  <c r="D35" i="15" s="1"/>
  <c r="D36" i="15" s="1"/>
  <c r="C33" i="15"/>
  <c r="C47" i="15" s="1"/>
  <c r="I47" i="15" s="1"/>
  <c r="I3" i="15"/>
  <c r="I12" i="15" s="1"/>
  <c r="F35" i="15"/>
  <c r="F36" i="15" s="1"/>
  <c r="F48" i="15"/>
  <c r="K25" i="15"/>
  <c r="E25" i="15"/>
  <c r="E35" i="15"/>
  <c r="E36" i="15" s="1"/>
  <c r="H6" i="3"/>
  <c r="J6" i="3"/>
  <c r="I12" i="3"/>
  <c r="I32" i="8"/>
  <c r="D32" i="8"/>
  <c r="C38" i="8"/>
  <c r="C23" i="15" l="1"/>
  <c r="C24" i="15" s="1"/>
  <c r="C25" i="15" s="1"/>
  <c r="I46" i="15" s="1"/>
  <c r="C45" i="15"/>
  <c r="I45" i="15" s="1"/>
  <c r="I22" i="15"/>
  <c r="I23" i="15" s="1"/>
  <c r="I24" i="15" s="1"/>
  <c r="I25" i="15" s="1"/>
  <c r="B4" i="16" s="1"/>
  <c r="J22" i="15"/>
  <c r="J23" i="15" s="1"/>
  <c r="J24" i="15" s="1"/>
  <c r="J25" i="15" s="1"/>
  <c r="J12" i="15"/>
  <c r="I33" i="15"/>
  <c r="I34" i="15" s="1"/>
  <c r="J33" i="15"/>
  <c r="J34" i="15" s="1"/>
  <c r="C34" i="15"/>
  <c r="C35" i="15" s="1"/>
  <c r="C36" i="15" s="1"/>
  <c r="I11" i="15"/>
  <c r="I4" i="15"/>
  <c r="B2" i="16" s="1"/>
  <c r="C48" i="15"/>
  <c r="D38" i="8"/>
  <c r="F46" i="8"/>
  <c r="I46" i="8" s="1"/>
  <c r="J46" i="8" s="1"/>
  <c r="J32" i="8"/>
  <c r="I38" i="8"/>
  <c r="J38" i="8" s="1"/>
  <c r="H12" i="3"/>
  <c r="J12" i="3"/>
  <c r="F47" i="8"/>
  <c r="I47" i="8" s="1"/>
  <c r="J47" i="8" s="1"/>
  <c r="I48" i="15" l="1"/>
  <c r="J35" i="15"/>
  <c r="J36" i="15" s="1"/>
  <c r="I35" i="15"/>
  <c r="I36" i="15" s="1"/>
  <c r="B5" i="16" s="1"/>
  <c r="F45" i="8"/>
  <c r="I45" i="8" s="1"/>
  <c r="J45" i="8" s="1"/>
  <c r="E44" i="8" l="1"/>
  <c r="H44" i="8" s="1"/>
  <c r="B50" i="8"/>
  <c r="C50" i="8" s="1"/>
  <c r="D44" i="8"/>
  <c r="H50" i="8" l="1"/>
  <c r="E50" i="8"/>
  <c r="D50" i="8"/>
  <c r="F44" i="8" l="1"/>
  <c r="I44" i="8" s="1"/>
  <c r="G50" i="8"/>
  <c r="F50" i="8" s="1"/>
  <c r="I50" i="8" l="1"/>
  <c r="J50" i="8" s="1"/>
  <c r="J44" i="8"/>
  <c r="D106" i="13" l="1"/>
  <c r="D115" i="13" s="1"/>
  <c r="G108" i="13"/>
  <c r="G120" i="13" s="1"/>
  <c r="G106" i="13"/>
  <c r="G115" i="13" s="1"/>
  <c r="F106" i="13"/>
  <c r="F115" i="13" s="1"/>
  <c r="F108" i="13"/>
  <c r="F120" i="13" s="1"/>
  <c r="E106" i="13"/>
  <c r="E115" i="13" s="1"/>
  <c r="E108" i="13"/>
  <c r="E120" i="13" s="1"/>
  <c r="F76" i="14" l="1"/>
  <c r="F64" i="14"/>
  <c r="F58" i="14"/>
  <c r="F87" i="14"/>
  <c r="F70" i="14"/>
  <c r="F82" i="14"/>
  <c r="E82" i="14"/>
  <c r="E76" i="14"/>
  <c r="E64" i="14"/>
  <c r="E58" i="14"/>
  <c r="E70" i="14"/>
  <c r="E87" i="14"/>
  <c r="G64" i="14"/>
  <c r="G58" i="14"/>
  <c r="G82" i="14"/>
  <c r="G87" i="14"/>
  <c r="F116" i="13"/>
  <c r="E116" i="13"/>
  <c r="D116" i="13"/>
  <c r="G116" i="13"/>
  <c r="D108" i="13"/>
  <c r="F119" i="13" l="1"/>
  <c r="F121" i="13" s="1"/>
  <c r="G119" i="13"/>
  <c r="G121" i="13" s="1"/>
  <c r="E119" i="13"/>
  <c r="E121" i="13" s="1"/>
  <c r="D119" i="13"/>
  <c r="D120" i="13"/>
  <c r="D121" i="13" l="1"/>
  <c r="G125" i="13" l="1"/>
  <c r="F125" i="13"/>
  <c r="E125" i="13"/>
  <c r="D125" i="13" l="1"/>
  <c r="C113" i="13" l="1"/>
  <c r="C91" i="13" l="1"/>
  <c r="C114" i="13" l="1"/>
  <c r="C139" i="13" l="1"/>
  <c r="C124" i="13"/>
  <c r="C106" i="13"/>
  <c r="C115" i="13" s="1"/>
  <c r="C130" i="13" l="1"/>
  <c r="C137" i="13"/>
  <c r="C138" i="13" s="1"/>
  <c r="C108" i="13"/>
  <c r="C116" i="13"/>
  <c r="C58" i="14" l="1"/>
  <c r="C82" i="14"/>
  <c r="I69" i="14"/>
  <c r="I70" i="14" s="1"/>
  <c r="C70" i="14"/>
  <c r="C64" i="14"/>
  <c r="I75" i="14"/>
  <c r="I76" i="14" s="1"/>
  <c r="C87" i="14"/>
  <c r="C119" i="13"/>
  <c r="C120" i="13"/>
  <c r="C121" i="13" l="1"/>
  <c r="C125" i="13" l="1"/>
  <c r="I48" i="13"/>
  <c r="H113" i="13" l="1"/>
  <c r="I52" i="13" l="1"/>
  <c r="I54" i="13" s="1"/>
  <c r="I113" i="13"/>
  <c r="I94" i="13"/>
  <c r="I97" i="13" l="1"/>
  <c r="I62" i="13"/>
  <c r="I93" i="13" s="1"/>
  <c r="I66" i="13" l="1"/>
  <c r="H91" i="13"/>
  <c r="I104" i="13"/>
  <c r="I136" i="13" l="1"/>
  <c r="I135" i="13" s="1"/>
  <c r="I129" i="13" s="1"/>
  <c r="H87" i="13"/>
  <c r="H114" i="13"/>
  <c r="I96" i="13"/>
  <c r="I91" i="13"/>
  <c r="I105" i="13"/>
  <c r="I109" i="13"/>
  <c r="H139" i="13" l="1"/>
  <c r="I87" i="13"/>
  <c r="H124" i="13"/>
  <c r="H130" i="13"/>
  <c r="H137" i="13"/>
  <c r="H138" i="13" s="1"/>
  <c r="I114" i="13"/>
  <c r="I106" i="13"/>
  <c r="H106" i="13"/>
  <c r="H115" i="13" s="1"/>
  <c r="I130" i="13" l="1"/>
  <c r="I139" i="13"/>
  <c r="I115" i="13"/>
  <c r="H116" i="13"/>
  <c r="H108" i="13"/>
  <c r="H87" i="14" l="1"/>
  <c r="I86" i="14"/>
  <c r="I87" i="14" s="1"/>
  <c r="H58" i="14"/>
  <c r="I57" i="14"/>
  <c r="I58" i="14" s="1"/>
  <c r="H82" i="14"/>
  <c r="I81" i="14"/>
  <c r="I82" i="14" s="1"/>
  <c r="H64" i="14"/>
  <c r="I63" i="14"/>
  <c r="I64" i="14" s="1"/>
  <c r="I137" i="13"/>
  <c r="I138" i="13" s="1"/>
  <c r="I108" i="13"/>
  <c r="H120" i="13"/>
  <c r="I120" i="13" s="1"/>
  <c r="I116" i="13"/>
  <c r="H119" i="13"/>
  <c r="H121" i="13" l="1"/>
  <c r="I119" i="13"/>
  <c r="I121" i="13" l="1"/>
  <c r="I124" i="13"/>
  <c r="H125" i="13" l="1"/>
  <c r="I125" i="13" s="1"/>
  <c r="I122" i="13"/>
</calcChain>
</file>

<file path=xl/sharedStrings.xml><?xml version="1.0" encoding="utf-8"?>
<sst xmlns="http://schemas.openxmlformats.org/spreadsheetml/2006/main" count="1132" uniqueCount="384">
  <si>
    <t>São Miguel</t>
  </si>
  <si>
    <t>Terceira</t>
  </si>
  <si>
    <t>Pico</t>
  </si>
  <si>
    <t>Faial</t>
  </si>
  <si>
    <t>São Jorge</t>
  </si>
  <si>
    <t>Sta.Maria</t>
  </si>
  <si>
    <t>Total</t>
  </si>
  <si>
    <t>Custo da Produção Não Renovável</t>
  </si>
  <si>
    <t>Produção (2024)</t>
  </si>
  <si>
    <t>GWh</t>
  </si>
  <si>
    <t>Produção com Petróleo (2024)</t>
  </si>
  <si>
    <t>Produção com Petróleo Projetado (2028-2063)</t>
  </si>
  <si>
    <t>Custo da Produção com Petróleo (2024)</t>
  </si>
  <si>
    <t>€M</t>
  </si>
  <si>
    <t>€/MWh</t>
  </si>
  <si>
    <t>Custo Projetado (2028-2063)</t>
  </si>
  <si>
    <t>Economia BESS no modo "Grid-Following"</t>
  </si>
  <si>
    <t>Produção Fotovoltaica</t>
  </si>
  <si>
    <t>Preço da Força Açoreana (2028-2053)</t>
  </si>
  <si>
    <t>Produção Líquida Vendida Diretamente para a EDA</t>
  </si>
  <si>
    <t>Total Comprado pela EDA</t>
  </si>
  <si>
    <t>Produção armazenada</t>
  </si>
  <si>
    <t>Perdas de armazenamento</t>
  </si>
  <si>
    <t>Produção armazenada de FA vendida</t>
  </si>
  <si>
    <t>Armazenamento fotovoltaico adquirido pela EDA</t>
  </si>
  <si>
    <t>Total adquirido pela EDA</t>
  </si>
  <si>
    <t>Produção Eólica</t>
  </si>
  <si>
    <t>Fator de Capacidade Eólica</t>
  </si>
  <si>
    <t>Capacidade Eólica (2028)</t>
  </si>
  <si>
    <t>MW</t>
  </si>
  <si>
    <t>Capacidade Eólica em GWh (2028-2053)</t>
  </si>
  <si>
    <t>Utilização da capacidade projetada com BESS "Grid Following" (2028)</t>
  </si>
  <si>
    <t>%</t>
  </si>
  <si>
    <t>Redução Projetada (eolica) (2028-2053)</t>
  </si>
  <si>
    <t>Porção da redução durante a noite</t>
  </si>
  <si>
    <t>Redução noturna sem BESS (eolica)</t>
  </si>
  <si>
    <t>Redução diurna sem BESS</t>
  </si>
  <si>
    <t>Redução noturna média/hora (8 horas)</t>
  </si>
  <si>
    <t>MW/h</t>
  </si>
  <si>
    <t>Carregamento BESS durante a noite/hora (5 horas)</t>
  </si>
  <si>
    <t>Autoconsumo</t>
  </si>
  <si>
    <t>Comprado pela F.A. durante a noite (2028-2053)</t>
  </si>
  <si>
    <t>Preço pago pela F.A. (durante a noite)</t>
  </si>
  <si>
    <t>Pago a EDA durante a noite</t>
  </si>
  <si>
    <t>Redução diurna média/hora (16 horas)</t>
  </si>
  <si>
    <t>Carregamento BESS durante o dia (10 oras)</t>
  </si>
  <si>
    <t>Comprado pela F.A. durante o dia (10 horas)</t>
  </si>
  <si>
    <t>Preço pago pela F.A. (durante o dia)</t>
  </si>
  <si>
    <t>Pago a EDA durante o dia</t>
  </si>
  <si>
    <t>Total Comprado pela F.A.</t>
  </si>
  <si>
    <t>Total Pago a EDA</t>
  </si>
  <si>
    <t>Preço medio pago pela  F.A. à EDA</t>
  </si>
  <si>
    <t>Preço pago pela EDA pela energia eólica (2028-2053, projetado)</t>
  </si>
  <si>
    <t>Total pago pela EDA pela produção privada</t>
  </si>
  <si>
    <t>Total armazenado (eolica)</t>
  </si>
  <si>
    <t>Armazenamento eolico adquirido pela EDA</t>
  </si>
  <si>
    <t>Custo líquido para EDA</t>
  </si>
  <si>
    <t>Total adquirido</t>
  </si>
  <si>
    <t>Poupança 2028-2029</t>
  </si>
  <si>
    <t>Comments</t>
  </si>
  <si>
    <t>EDA CARE 2024</t>
  </si>
  <si>
    <t>Produção com Petróleo Projetado (2028-2029)</t>
  </si>
  <si>
    <t>Pressupõe um crescimento anual de 1,6%. Tem em conta as fontes renováveis adicionais planeadas pela EDA e por outras partes, excluindo a FA.</t>
  </si>
  <si>
    <t>Consulte o separador Custos de combustível da EDA. Fonte: Relatório contabilístico anual da EDA, 2024.</t>
  </si>
  <si>
    <t>Custo variável da Produção com Petróleo (2024)</t>
  </si>
  <si>
    <t>Custo Projetado (2028)</t>
  </si>
  <si>
    <t>Pressupõe um aumento anual de 1% ao longo de 4 anos.</t>
  </si>
  <si>
    <t>Preço da Força Açoreana (2028-2029)</t>
  </si>
  <si>
    <t>Fonte: guia Preço PPA, derivada dos cálculos do LCOE</t>
  </si>
  <si>
    <t>Fonte: Projeções financeiras para cada sítio (ver separador cálculos, cel G214)</t>
  </si>
  <si>
    <t>Fonte: Projeções financeiras para cada local (ver separador cálculos, cel G223)</t>
  </si>
  <si>
    <t>Campo calculado com base na redução anual prevista de F.A. PV. Varia consideravelmente por dia e por mês.</t>
  </si>
  <si>
    <t>Veja projeções financeiras para perdas de armazenamento unidirecional, estimadas em 7,2%. Estes são consistentes com as normas da indústria e incluem perdas de eficiência da bateria e perdas do inversor.</t>
  </si>
  <si>
    <t>Produção Outros Produtores</t>
  </si>
  <si>
    <t>Fonte: cálculo detalhado baseado na velocidade média mensal do vento e na curva de potência das turbinas; comparação com as Ilhas Canárias.</t>
  </si>
  <si>
    <t>Capacidade Eólica em MW (2024)</t>
  </si>
  <si>
    <t>Fonte: EDA CARE 2024</t>
  </si>
  <si>
    <t>Produção potencial em GWh (2024)</t>
  </si>
  <si>
    <t>Campo calculado com base no fator de capacidade estimado na linha 21.</t>
  </si>
  <si>
    <t>Produção Eólica Média (2022-2024)</t>
  </si>
  <si>
    <t>Fonte: EDA CARE 2022, 2023 e 2024.</t>
  </si>
  <si>
    <t>Utilização da capacidade  (2022-2024)</t>
  </si>
  <si>
    <t>Inclui atualizações antecipadas para turbinas eólicas de acordo com o plano EDA de 5 anos.</t>
  </si>
  <si>
    <t>Capacidade Eólica em GWh (2028)</t>
  </si>
  <si>
    <t>Estimado, com base na utilização recente da capacidade e na capacidade adicional.</t>
  </si>
  <si>
    <t>Redução Projetada (eolica) (2028)</t>
  </si>
  <si>
    <t>Campo calculado com base na utilização estimada da capacidade na linha 27.</t>
  </si>
  <si>
    <t>Estimativa.</t>
  </si>
  <si>
    <t>Campo calculado com base na estimativa na linha 29.</t>
  </si>
  <si>
    <t>Com base na análise dos relatórios da EDA CARE para 2022, 2023 e 2024. O fator de capacidade teórica deve ser de 90%. A capacidade é de 29,6MW, mas assume a capacidade máxima de 21MW. Isso aumentará com a capacidade adicional esperada para entrar em operação até 2028, então este número é um número conservador.</t>
  </si>
  <si>
    <t>Campo calculado com base na linha 30.</t>
  </si>
  <si>
    <t>Pressupõe a cobrança durante o período de menor custo. Varia entre 45% da capacidade disponível do BESS e 52%, com base na redução diurna prevista do F.A. PV em cada ilha.</t>
  </si>
  <si>
    <t>Consulte as projeções financeiras para obter detalhes (guia entradas, célula E127 e guia cálculos, célula G217).</t>
  </si>
  <si>
    <t>Comprado pela F.A. durante a noite (2028-2029)</t>
  </si>
  <si>
    <t>Campo calculado com base na linha 33.</t>
  </si>
  <si>
    <t>Estimado com base nos preços atuais, aumentado em 1% ao ano x 4 anos.</t>
  </si>
  <si>
    <t>Campo calculado com base nas linhas 28 e 29.</t>
  </si>
  <si>
    <t>Assume que 15% da capacidade disponível é cobrada da rede durante o dia, principalmente durante a manhã, quando a produção de energia fotovoltaica da FA não seria reduzida. Também depende de descarga diária para manter a estabilidade da rede. Assume que o carregamento diurno a partir da rede, que é relativamente pouco, será feito a partir de fontes renováveis que, de outra forma, seriam reduzidas.</t>
  </si>
  <si>
    <t>Campo calculado com base na linha 35.</t>
  </si>
  <si>
    <t>Campo calculado com base nas linhas 36 e 37.</t>
  </si>
  <si>
    <t>Campo calculado</t>
  </si>
  <si>
    <t>Preço pago pela EDA pela energia eólica (2024)</t>
  </si>
  <si>
    <t>Fonte: Relatório contabilístico anual da EDA relativo a 2024.</t>
  </si>
  <si>
    <t>Preço pago pela EDA pela energia eólica (2028-2029, projetado)</t>
  </si>
  <si>
    <t>Pressupõe 1,25% de aumento anual x 4 anos.</t>
  </si>
  <si>
    <t>Campo calculado. Assume o pagamento ao produtor privado, uma vez que o pagamento às energias renováveis ​​da EDA também é receita para a EDA.</t>
  </si>
  <si>
    <t>Note-se que o montante líquido dos custos de cobrança é um pequeno d,eficit para a AED. As poupanças em energias não renováveis compensam esta situação.</t>
  </si>
  <si>
    <t>Campo calculado. Deve ser igual campo nas projeções financeiras na célula de cálculo da guia G219.</t>
  </si>
  <si>
    <t>Armazenamento total adquiridio pela EDA</t>
  </si>
  <si>
    <t>Total vendido pela F.A.</t>
  </si>
  <si>
    <t xml:space="preserve">Custo liquido </t>
  </si>
  <si>
    <t>Economias BESS adicionais no modo "Grid-Forming"</t>
  </si>
  <si>
    <t>Nota geral: A utilização do F.A. BESS em "Modo de Formação de Grelha" (GFM) fica ao critério da EDA. Existem custos operacionais adicionais mínimos para a AED fazê-lo. O projeto da F.A. assume inversores de armazenamento adicionais necessários para reduzir permanentemente o uso de turbinas não renováveis em uma turbina x 50%. O capex incremental é insignificante, mas as economias incrementais são substanciais.</t>
  </si>
  <si>
    <t>Produção Não Renovável Projetada (2028-2029)</t>
  </si>
  <si>
    <t>Ver linha 6,</t>
  </si>
  <si>
    <t>Capacidade inversores</t>
  </si>
  <si>
    <t>Redução media estimada no uso de turbinas</t>
  </si>
  <si>
    <t>50% de turbinas individuais específicas em cada ilha.</t>
  </si>
  <si>
    <t>Porcentagem de horas diárias economizadas</t>
  </si>
  <si>
    <t>Potencial de economia com a Grid-Forming</t>
  </si>
  <si>
    <t>A formação de grade calculada em campo pressupõe 24 horas por dia, 7 dias por semana, permitindo a redução no uso da turbina em 8760 horas por ano</t>
  </si>
  <si>
    <t>Redução no uso de turbinas movidas a óleo</t>
  </si>
  <si>
    <t>Horas por dia</t>
  </si>
  <si>
    <t>#</t>
  </si>
  <si>
    <t>Dias por ano</t>
  </si>
  <si>
    <t>Poupança potencial em GWh</t>
  </si>
  <si>
    <t>Custo Projetado de Energias Renováveis (2028-2029)</t>
  </si>
  <si>
    <t>Estimativa. Ver linha 44.</t>
  </si>
  <si>
    <t>Custo pago por energias renováveis privadas</t>
  </si>
  <si>
    <t>Campo calculado com base nas linhas 64 e 65.</t>
  </si>
  <si>
    <t>Economia com a redução do uso de turbinas</t>
  </si>
  <si>
    <t>Campo calculado com base nas linhas 9 e 64.</t>
  </si>
  <si>
    <t>Custo estimado do modo de Grid-Forming</t>
  </si>
  <si>
    <t>Valor aproximado dos custos operacionais adicionais para a EDA operar em modo de rede. Não devem ser exigidos custos de capital incrementais, e este valor estimado pode ser excessivo.</t>
  </si>
  <si>
    <t>Economia Líquida potencial com F.A. BESS (Grid-Forming)</t>
  </si>
  <si>
    <t>Campo calculado.</t>
  </si>
  <si>
    <t>Campo calculado. Observe a economia potencial substancial superior a 100GWh por ano que deve ser possível usando o F.A. BESS no modo de formação de grade.</t>
  </si>
  <si>
    <t>Economia Adicional no Modo Grid-Forming</t>
  </si>
  <si>
    <t>Campo calculado com base na linha 69 dividido pelo total de PV mais BESS adquirido pela EDA à F.A.</t>
  </si>
  <si>
    <t>Poupanças do Projeto (2028-2029)</t>
  </si>
  <si>
    <t>Energia Renovável Comprada Líquida de Perdas de Armazenamento</t>
  </si>
  <si>
    <t>Poupança BESS (Grid-Following)</t>
  </si>
  <si>
    <t xml:space="preserve">   Produção Fotovoltaica vendida diretamente</t>
  </si>
  <si>
    <t xml:space="preserve">   Eólica (redução da curtão eólica)</t>
  </si>
  <si>
    <t>Ver linha 62</t>
  </si>
  <si>
    <t xml:space="preserve">   Fotovoltaica (redução da curtão da F.A.)</t>
  </si>
  <si>
    <t>Ver linha 13</t>
  </si>
  <si>
    <t>Poupança Adicional BESS (Grid-Forming)</t>
  </si>
  <si>
    <t xml:space="preserve">   Eólica (redução da curtão)</t>
  </si>
  <si>
    <t>Campo calculado. Note-se que não é reduzido por perdas de armazenamento, porque a eletricidade de outra forma reduzida vai diretamente para a rede.</t>
  </si>
  <si>
    <t xml:space="preserve">   Solar (redução da curtão)</t>
  </si>
  <si>
    <t>Poupança Total</t>
  </si>
  <si>
    <t>Uso mínimo de energia não renovável</t>
  </si>
  <si>
    <t>Este valor pressupõe que uma turbina x 50% está sempre operando em cada ilha. Em São Miguel, há uma suposição de que durante algumas partes do ano, durante a noite, todas as turbinas poderiam ser desligadas. O valor baseia-se em estimativas fornecidas à F.A. pelos engenheiros da EDA e é consistente com os números utilizados nas projeções financeiras, que determinam a redução estimada da F.A. PV.</t>
  </si>
  <si>
    <t>Poupança potencial máxima</t>
  </si>
  <si>
    <t>Utilização não renovável projetada menos produção mínima não renovável (ou seja, Linha 92 menos linha 93).</t>
  </si>
  <si>
    <t>Poupança Projetada</t>
  </si>
  <si>
    <t>Fotovoltaica</t>
  </si>
  <si>
    <t>Eólica</t>
  </si>
  <si>
    <t>Este valor é limitado pela poupança potencial máxima na linha 94. Se a poupança total exceder o valor máximo na linha 94, a quantidade líquida de novas energias renováveis possíveis no âmbito da formação da rede foi reduzida de modo a que a poupança não exceda a poupança potencial máxima (ou seja, tendo em conta o funcionamento mínimo das turbinas alimentadas a petróleo).</t>
  </si>
  <si>
    <t>Custo Líquido da Energia Renovável Comprada</t>
  </si>
  <si>
    <t>Poupança total Projetada</t>
  </si>
  <si>
    <t>BESS (Grid-Following)</t>
  </si>
  <si>
    <t>BESS (Grid-Forming)</t>
  </si>
  <si>
    <t>Poupança potencial total</t>
  </si>
  <si>
    <t>Poupança Projetada de Custos (2028-2029)</t>
  </si>
  <si>
    <t>Custo (Preço Não Renovável)</t>
  </si>
  <si>
    <t>Linha 9 x Linha 110</t>
  </si>
  <si>
    <t>Custo (Preço Renovável)</t>
  </si>
  <si>
    <t>Ver linha 101</t>
  </si>
  <si>
    <t>Poupança Potencial Total de Custos</t>
  </si>
  <si>
    <t>Poupança líquida (custo das energias não renováveis menos custo das energias renováveis).</t>
  </si>
  <si>
    <t>Fonte Fotovoltaica Produção</t>
  </si>
  <si>
    <t>Poupança PV</t>
  </si>
  <si>
    <t>Poupança de BESS em modo "Grid-Following".</t>
  </si>
  <si>
    <t>Poupança de BESS em modo "Grid-Forming".</t>
  </si>
  <si>
    <t>Poupança Total de Custos Projetada (2028-2029)</t>
  </si>
  <si>
    <t>Poupança total</t>
  </si>
  <si>
    <t>Economia de Custo por MWh Adquirido pela EDA</t>
  </si>
  <si>
    <t>Poupança fotovoltaica dividida pela produção fotovoltaica vendida diretamente.</t>
  </si>
  <si>
    <t>Poupança de BESS em modo "Grid-Following" dividida por (PV vendido diretamente mais armazenamento vendido).</t>
  </si>
  <si>
    <t>Poupança de BESS em modo "Grid-Forming" dividida por (PV vendido diretamente mais armazenamento vendido).</t>
  </si>
  <si>
    <t>Custo Efetivo por MWh (2028-2029)</t>
  </si>
  <si>
    <t>Custo Não Renovável por MWh (Est. 2028-2029)</t>
  </si>
  <si>
    <t>Custo se todos os 217GWh fossem produzidos através de fontes não renováveis (ou seja, Sem projeto F.A.).</t>
  </si>
  <si>
    <t>Preço PPA Força Açoreana</t>
  </si>
  <si>
    <t>Preço F.A. PPA, com base no LCOE.</t>
  </si>
  <si>
    <t>Poupança (Grid-Following)</t>
  </si>
  <si>
    <t>Custo Efetivo por MWh F.A. (Modo Grid-Following)</t>
  </si>
  <si>
    <t>Custo efetivo do F.A. BESS utilizado no modo "Grid-Following", tendo em conta as poupanças de seguimento de rede.</t>
  </si>
  <si>
    <t>Poupança (Grid-Forming)</t>
  </si>
  <si>
    <t>Custo Efetivo por MWh F.A. (Modo Grid-Forming)</t>
  </si>
  <si>
    <t>Custo efetivo do F.A. BESS utilizado no modo "Grid-Forming", tendo em conta as poupanças de seguimento de rede.</t>
  </si>
  <si>
    <t>Poupança total por dia (Grid-Forming)</t>
  </si>
  <si>
    <t>€</t>
  </si>
  <si>
    <t>Note que o custo efetivo geral é muito baixo - se usado no modo de formação de grade, o F.A. BESS paga por si mesmo. Note-se também que o custo efetivo em São Miguel é o mesmo que seria o custo apenas fotovoltaico.</t>
  </si>
  <si>
    <t>SM+TER</t>
  </si>
  <si>
    <t>PIC+FAI+SJ</t>
  </si>
  <si>
    <t>Preço projetado da Produção com Petróleo</t>
  </si>
  <si>
    <t>Preço PPA</t>
  </si>
  <si>
    <t>Poupança da produção vendida diretamente</t>
  </si>
  <si>
    <t>Poupança em GWh</t>
  </si>
  <si>
    <t xml:space="preserve">Custo em Euros </t>
  </si>
  <si>
    <t>Poupança em Euros</t>
  </si>
  <si>
    <t>Poupança por MWh</t>
  </si>
  <si>
    <t>Custo efetivo €/MWh</t>
  </si>
  <si>
    <t>Poupança BESS no modo "Grid-Following"</t>
  </si>
  <si>
    <t>Poupança projetada em GWh</t>
  </si>
  <si>
    <t>Armazenamento Adquirido pela EDA da F.A.</t>
  </si>
  <si>
    <t>Custo em Euros  (pago pela EDA a F.A.)</t>
  </si>
  <si>
    <t>Custo de carregamento e autoconsumo (pago pela F.A. a EDA)</t>
  </si>
  <si>
    <t>Custo para produtores privados de energia eólica</t>
  </si>
  <si>
    <t>Custo líquido</t>
  </si>
  <si>
    <t>Poupança BESS adicional no modo "Grid-Forming"</t>
  </si>
  <si>
    <t>Custo operacional</t>
  </si>
  <si>
    <t>Custo para produtores privados</t>
  </si>
  <si>
    <t>Resumo de Poupança</t>
  </si>
  <si>
    <t>Economia de eletricidade não renovável</t>
  </si>
  <si>
    <t>Economia total de eletricidade não renovável</t>
  </si>
  <si>
    <t>Economia de custos para EDA</t>
  </si>
  <si>
    <t>EUR</t>
  </si>
  <si>
    <t>Economia total de custos para EDA</t>
  </si>
  <si>
    <t>Economia de CO2</t>
  </si>
  <si>
    <t>Toneladas</t>
  </si>
  <si>
    <t>BESS (Seguimento da Rede)</t>
  </si>
  <si>
    <t>BESS (Formação da Rede)</t>
  </si>
  <si>
    <t>Economia Total de CO2</t>
  </si>
  <si>
    <t>Economia de Licenças de CO2</t>
  </si>
  <si>
    <t>Economia Total de Licenças de CO2</t>
  </si>
  <si>
    <t>Economia de Óleo Combustível</t>
  </si>
  <si>
    <t>Economia Total de Combustível</t>
  </si>
  <si>
    <t>Economia Total de Óleo Combustível</t>
  </si>
  <si>
    <t>Economia de Gasóleo</t>
  </si>
  <si>
    <t>kL</t>
  </si>
  <si>
    <t>Economia Total de Gasóleo</t>
  </si>
  <si>
    <t>Poupança 2028-2053</t>
  </si>
  <si>
    <t>Preço projetado da Produção com Petróleo em valores 2028</t>
  </si>
  <si>
    <t>Preço PPA em valores 2028</t>
  </si>
  <si>
    <t>Custo efetivo</t>
  </si>
  <si>
    <t>Custo efetivo em Euros 2028</t>
  </si>
  <si>
    <t>EUR M</t>
  </si>
  <si>
    <t>Não Renovável</t>
  </si>
  <si>
    <t>"Grid-Following"</t>
  </si>
  <si>
    <t>"Grid-Forming"</t>
  </si>
  <si>
    <t xml:space="preserve"> € / MWh</t>
  </si>
  <si>
    <t>Média 25 anos</t>
  </si>
  <si>
    <t>Ilha</t>
  </si>
  <si>
    <t>Grid-forming</t>
  </si>
  <si>
    <t>Santa Maria</t>
  </si>
  <si>
    <t>Média ponderada</t>
  </si>
  <si>
    <t>Aumento Anual</t>
  </si>
  <si>
    <t>Custos de Carregamento</t>
  </si>
  <si>
    <t>COMPARAÇÃO DO PREÇO DO PPA F.A. COM OS CUSTOS DE EDA PARA FONTES BASEADAS EM COMBUSTÍVEIS FÓSSEIS</t>
  </si>
  <si>
    <t>Custo da EDA 2024</t>
  </si>
  <si>
    <t>Projetado para 2028</t>
  </si>
  <si>
    <t>Projectado para 2028 ate 2053</t>
  </si>
  <si>
    <t>Preço 2028</t>
  </si>
  <si>
    <t>25 Anos</t>
  </si>
  <si>
    <t>Com Capex</t>
  </si>
  <si>
    <t>Sem Capex</t>
  </si>
  <si>
    <t>Baixo</t>
  </si>
  <si>
    <t>Esperado</t>
  </si>
  <si>
    <t>Alto</t>
  </si>
  <si>
    <t>Sao Miguel</t>
  </si>
  <si>
    <t>Sao Jorge</t>
  </si>
  <si>
    <t>Media Ponderada</t>
  </si>
  <si>
    <t>Observações:</t>
  </si>
  <si>
    <t>Cálculo do preço F.A. PPA derivado de planilha individual para cada ilha. Os preços de 25 anos são médias durante esses períodos de tempo.</t>
  </si>
  <si>
    <t>Custos da EDA para 2023 com base no relatório anual da AED relativo a 2023</t>
  </si>
  <si>
    <t>Custos da EDA 2028 assumem aumento global de 4% em 4 anos a partir de 2023, com aumento zero para depreciação</t>
  </si>
  <si>
    <t>Custo médio a longo prazo da AED derivado da análise dos preços projetados do petróleo e dos preços projetados das licenças de carbono (ver separadores nesta folha de cálculo)</t>
  </si>
  <si>
    <t>Intervalo para custos de longo prazo da EDA com base no custo estimado de 15% +/- esperado</t>
  </si>
  <si>
    <t>CUSTOS DE PRODUÇÃO UNITARIOS DA EDA 2024</t>
  </si>
  <si>
    <t>Capex</t>
  </si>
  <si>
    <t>CO2</t>
  </si>
  <si>
    <t>Gasóleo</t>
  </si>
  <si>
    <t>Fuel</t>
  </si>
  <si>
    <t>Lubrificantes</t>
  </si>
  <si>
    <t>Misc.</t>
  </si>
  <si>
    <t>Liçensas CO2</t>
  </si>
  <si>
    <t xml:space="preserve">Produção </t>
  </si>
  <si>
    <t>Custo Unitario (€ / MWh)</t>
  </si>
  <si>
    <t>t</t>
  </si>
  <si>
    <t>l</t>
  </si>
  <si>
    <t>Kwh</t>
  </si>
  <si>
    <t>Source: EDA Annual Report for 2024, p. 56</t>
  </si>
  <si>
    <t>CUSTOS DE PRODUÇÃO UNITARIOS DA EDA 2028-2053</t>
  </si>
  <si>
    <t>Lubrif.</t>
  </si>
  <si>
    <t>Mt</t>
  </si>
  <si>
    <t>Ml</t>
  </si>
  <si>
    <t>1. GWh produzido assume crescimento de 1,5% ao ano para São Miguel, 1,2% para a Terceira, 1% para as restantes ilhas e produção renovável constante após 2027</t>
  </si>
  <si>
    <t>2. O custo do carbono pressupõe um preço médio de 93,2/MWh, 209,2/Tonelada durante um período de 25 anos (ver separador Preços do Carbono).</t>
  </si>
  <si>
    <t>3. O custo do combustível assume um custo médio para 2028-2053 igual a 87,3% do preço de 2022 para o petróleo Brent (ver separador Preços do Petróleo).</t>
  </si>
  <si>
    <t>4. Para a produção total projetada da Força Açoreana, ver coluna C, linhas 17 a 23, Guia de Preços do PPA</t>
  </si>
  <si>
    <t>Custo por tipo de produção 2023</t>
  </si>
  <si>
    <t>EDA</t>
  </si>
  <si>
    <t>Privado</t>
  </si>
  <si>
    <t>kwh</t>
  </si>
  <si>
    <t>Custo</t>
  </si>
  <si>
    <t>Custo por MWh</t>
  </si>
  <si>
    <t>Geotérmica</t>
  </si>
  <si>
    <t>Hidro</t>
  </si>
  <si>
    <t>Biogás</t>
  </si>
  <si>
    <t>Resíduos</t>
  </si>
  <si>
    <t>Produtores Privados</t>
  </si>
  <si>
    <t>Eólica-Graciolica</t>
  </si>
  <si>
    <t>Eólica-Terceira</t>
  </si>
  <si>
    <t>PV-Graciolica</t>
  </si>
  <si>
    <t>resíduos+biogás</t>
  </si>
  <si>
    <t>micro</t>
  </si>
  <si>
    <t>adjuste</t>
  </si>
  <si>
    <t>terceira parque</t>
  </si>
  <si>
    <t>Custo por ilha 2023</t>
  </si>
  <si>
    <t>PV</t>
  </si>
  <si>
    <t>Preço /MWh</t>
  </si>
  <si>
    <t>MWh</t>
  </si>
  <si>
    <t>Cost/MWh</t>
  </si>
  <si>
    <t>Nova Capacidade</t>
  </si>
  <si>
    <t>Projetada para 2028</t>
  </si>
  <si>
    <t>Micro PV</t>
  </si>
  <si>
    <t>CUSTOS DE EDA PROJETADOS (COM E SEM PRODUÇÃO DA FORÇA AÇOREANA)</t>
  </si>
  <si>
    <t>Produção e custos reais de 2024</t>
  </si>
  <si>
    <t>Combustíveis fósseis</t>
  </si>
  <si>
    <t>Energias renováveis</t>
  </si>
  <si>
    <t>Todas as Fontes</t>
  </si>
  <si>
    <t>Gwh</t>
  </si>
  <si>
    <t>Todas as Ilhas</t>
  </si>
  <si>
    <t>Produção e Custos Projetados para 2028 (sem produção Força Açoreana)</t>
  </si>
  <si>
    <t>(Na sequência do aumento da produção geotérmica, eólica e fotovoltaica)</t>
  </si>
  <si>
    <t>2028-2053 Produção e Custos Projetados</t>
  </si>
  <si>
    <t>(Excluindo a Produção da Força Açoreana)</t>
  </si>
  <si>
    <t>Totas as Fontes</t>
  </si>
  <si>
    <t>2028-2053</t>
  </si>
  <si>
    <t>Incluindo a Produção da Força Açoreana (excluindo poupanças na formação de rede)</t>
  </si>
  <si>
    <t>ESCALAÇÃO DO CUSTO DO ÓLEO EDA POR MWH E PROJEÇÕES DE CUSTOS FUTUROS</t>
  </si>
  <si>
    <t>2028-29</t>
  </si>
  <si>
    <t>Média 2025-2053</t>
  </si>
  <si>
    <t>Preço por barril, petróleo Brent, USD</t>
  </si>
  <si>
    <t>Fonte</t>
  </si>
  <si>
    <t>A</t>
  </si>
  <si>
    <t>B</t>
  </si>
  <si>
    <t>C</t>
  </si>
  <si>
    <t>D</t>
  </si>
  <si>
    <t>Preço do petróleo</t>
  </si>
  <si>
    <t>E</t>
  </si>
  <si>
    <t>Comparação vs 2023</t>
  </si>
  <si>
    <t>Oil Price Forecast 2023-2050 (thebalancemoney.com)</t>
  </si>
  <si>
    <t>Long Forecast</t>
  </si>
  <si>
    <t>OIL PRICE PREDICTION 2025, 2026-2036</t>
  </si>
  <si>
    <t>Oil and gas price forecast - Strategic transitioning: The future of oil and gas in a decarbonized world (deloitte.com)</t>
  </si>
  <si>
    <t>P_P1_hm_230821.151836.pdf (eia.gov)</t>
  </si>
  <si>
    <t>Brent Crude Oil Prices - 10 Year Daily Chart | MacroTrends</t>
  </si>
  <si>
    <t>average brent crude oil price 2022 - Google Search</t>
  </si>
  <si>
    <t>ESCALAÇÃO DO CUSTO DE CARBONO DA EDA POR MWH E PROJEÇÕES DE CUSTOS FUTUROS</t>
  </si>
  <si>
    <t>Ponderação</t>
  </si>
  <si>
    <t xml:space="preserve"> 2027-2053</t>
  </si>
  <si>
    <t>Cenário 1</t>
  </si>
  <si>
    <t>Custo do carbono por EUR/MWh</t>
  </si>
  <si>
    <t>Custo do carbono EUR/tCO2</t>
  </si>
  <si>
    <t>Cenário 2</t>
  </si>
  <si>
    <t>Cenário 3</t>
  </si>
  <si>
    <t>Cenário 4</t>
  </si>
  <si>
    <t>Actual through 2050, Estimated 2051-2053</t>
  </si>
  <si>
    <t>Cenário 5</t>
  </si>
  <si>
    <t>Cenário 6</t>
  </si>
  <si>
    <t>F</t>
  </si>
  <si>
    <t>Média de todos os cenários</t>
  </si>
  <si>
    <t>ec.europa.eu/regional_policy/sources/guides/vademecum_2127/vademecum_2127_en.pdf</t>
  </si>
  <si>
    <t>CARBON VALUES BEYOND 2050 (publishing.service.gov.uk)</t>
  </si>
  <si>
    <t>x</t>
  </si>
  <si>
    <t>EU ETS Market Outlook 1H 2024: Prices Valley Before Rally | BloombergNEF (bnef.com)</t>
  </si>
  <si>
    <t>Table 7: CO2 certificate price (Heizkostenvergleich 2024</t>
  </si>
  <si>
    <t>EU Carbon Border Adjustment Mechanism to raise $80B per year by 2040 | S&amp;P Global (spglobal.com)</t>
  </si>
  <si>
    <t xml:space="preserve">F </t>
  </si>
  <si>
    <t>Carbon Price Forecast 2030-2050: Assessing Market Stability &amp; Future Challenges | Enerdata</t>
  </si>
  <si>
    <t>Em 2023 a emissão específica de CO2 na RAA foi de 445,6 gCO2 /kWh​.</t>
  </si>
  <si>
    <t>Note: the .4456 figure includes MWh for renewables as well.</t>
  </si>
  <si>
    <t>source: EDA</t>
  </si>
  <si>
    <t>EDA - Eletricidade dos Açores</t>
  </si>
  <si>
    <t>The figure for 2024 was 0.6826 for non-renewables alone</t>
  </si>
  <si>
    <t>gCO2/kWh</t>
  </si>
  <si>
    <t>Toneladas CO2/MWh</t>
  </si>
  <si>
    <t>Custo da licença por MWh</t>
  </si>
  <si>
    <t>We used a figure of .675 in our savings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</si>
</sst>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_(* #,##0_);_(* \(#,##0\);_(* &quot;-&quot;???_);_(@_)"/>
    <numFmt numFmtId="168" formatCode="_(* #,##0.000_);_(* \(#,##0.000\);_(* &quot;-&quot;??_);_(@_)"/>
    <numFmt numFmtId="169" formatCode="_(* #,##0.0_);_(* \(#,##0.0\);_(* &quot;-&quot;?_);_(@_)"/>
    <numFmt numFmtId="170" formatCode="_(* #,##0.000_);_(* \(#,##0.000\);_(* &quot;-&quot;???_);_(@_)"/>
    <numFmt numFmtId="171" formatCode="_(* #,##0.0000_);_(* \(#,##0.0000\);_(* &quot;-&quot;??_);_(@_)"/>
    <numFmt numFmtId="172" formatCode="_(* #,##0.00000_);_(* \(#,##0.00000\);_(* &quot;-&quot;??_);_(@_)"/>
    <numFmt numFmtId="173" formatCode="_(* #,##0.000000_);_(* \(#,##0.000000\);_(* &quot;-&quot;??_);_(@_)"/>
    <numFmt numFmtId="174" formatCode="_(* #,##0.000_);_(* \(#,##0.000\);_(* &quot;-&quot;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777777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1F1F1F"/>
      <name val="Calibri"/>
      <family val="2"/>
      <scheme val="minor"/>
    </font>
    <font>
      <b/>
      <sz val="10"/>
      <color rgb="FF1F1F1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1F1F1F"/>
      <name val="Calibri"/>
      <family val="2"/>
      <scheme val="minor"/>
    </font>
    <font>
      <i/>
      <sz val="9"/>
      <color rgb="FF1F1F1F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rgb="FF1F1F1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i/>
      <sz val="9"/>
      <color rgb="FF1F1F1F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46">
    <xf numFmtId="0" fontId="0" fillId="0" borderId="0" xfId="0"/>
    <xf numFmtId="0" fontId="0" fillId="3" borderId="1" xfId="0" applyFill="1" applyBorder="1"/>
    <xf numFmtId="0" fontId="0" fillId="3" borderId="0" xfId="0" applyFill="1"/>
    <xf numFmtId="43" fontId="0" fillId="3" borderId="0" xfId="1" applyFont="1" applyFill="1" applyBorder="1"/>
    <xf numFmtId="43" fontId="0" fillId="3" borderId="0" xfId="0" applyNumberFormat="1" applyFill="1"/>
    <xf numFmtId="43" fontId="0" fillId="3" borderId="1" xfId="1" applyFont="1" applyFill="1" applyBorder="1"/>
    <xf numFmtId="0" fontId="0" fillId="4" borderId="0" xfId="0" applyFill="1"/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/>
    <xf numFmtId="0" fontId="0" fillId="2" borderId="14" xfId="0" applyFill="1" applyBorder="1"/>
    <xf numFmtId="0" fontId="2" fillId="3" borderId="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3" fontId="2" fillId="0" borderId="0" xfId="0" applyNumberFormat="1" applyFont="1"/>
    <xf numFmtId="165" fontId="0" fillId="3" borderId="0" xfId="0" applyNumberFormat="1" applyFill="1"/>
    <xf numFmtId="164" fontId="0" fillId="3" borderId="0" xfId="1" applyNumberFormat="1" applyFont="1" applyFill="1"/>
    <xf numFmtId="164" fontId="2" fillId="5" borderId="0" xfId="0" applyNumberFormat="1" applyFont="1" applyFill="1"/>
    <xf numFmtId="164" fontId="0" fillId="6" borderId="0" xfId="1" applyNumberFormat="1" applyFont="1" applyFill="1"/>
    <xf numFmtId="164" fontId="2" fillId="6" borderId="0" xfId="1" applyNumberFormat="1" applyFont="1" applyFill="1"/>
    <xf numFmtId="164" fontId="1" fillId="6" borderId="0" xfId="1" applyNumberFormat="1" applyFont="1" applyFill="1"/>
    <xf numFmtId="0" fontId="2" fillId="5" borderId="0" xfId="0" applyFont="1" applyFill="1"/>
    <xf numFmtId="0" fontId="7" fillId="0" borderId="0" xfId="0" applyFont="1" applyAlignment="1">
      <alignment vertical="center" wrapText="1"/>
    </xf>
    <xf numFmtId="0" fontId="8" fillId="4" borderId="0" xfId="0" applyFont="1" applyFill="1"/>
    <xf numFmtId="164" fontId="0" fillId="0" borderId="0" xfId="1" applyNumberFormat="1" applyFont="1"/>
    <xf numFmtId="0" fontId="2" fillId="0" borderId="0" xfId="0" applyFont="1"/>
    <xf numFmtId="165" fontId="0" fillId="0" borderId="0" xfId="1" applyNumberFormat="1" applyFont="1"/>
    <xf numFmtId="0" fontId="2" fillId="2" borderId="0" xfId="0" applyFont="1" applyFill="1" applyAlignment="1">
      <alignment horizontal="center"/>
    </xf>
    <xf numFmtId="165" fontId="0" fillId="3" borderId="5" xfId="1" applyNumberFormat="1" applyFont="1" applyFill="1" applyBorder="1"/>
    <xf numFmtId="164" fontId="0" fillId="3" borderId="0" xfId="0" applyNumberFormat="1" applyFill="1"/>
    <xf numFmtId="0" fontId="2" fillId="2" borderId="0" xfId="0" applyFont="1" applyFill="1"/>
    <xf numFmtId="0" fontId="0" fillId="2" borderId="0" xfId="0" applyFill="1"/>
    <xf numFmtId="43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0" fillId="3" borderId="5" xfId="0" applyFill="1" applyBorder="1"/>
    <xf numFmtId="0" fontId="4" fillId="3" borderId="0" xfId="3" applyFill="1" applyBorder="1"/>
    <xf numFmtId="0" fontId="0" fillId="3" borderId="6" xfId="0" applyFill="1" applyBorder="1"/>
    <xf numFmtId="0" fontId="0" fillId="3" borderId="7" xfId="0" applyFill="1" applyBorder="1"/>
    <xf numFmtId="0" fontId="7" fillId="3" borderId="1" xfId="0" applyFont="1" applyFill="1" applyBorder="1" applyAlignment="1">
      <alignment horizontal="left" vertical="center" wrapText="1"/>
    </xf>
    <xf numFmtId="0" fontId="0" fillId="3" borderId="8" xfId="0" applyFill="1" applyBorder="1"/>
    <xf numFmtId="0" fontId="0" fillId="9" borderId="0" xfId="0" applyFill="1"/>
    <xf numFmtId="0" fontId="2" fillId="3" borderId="21" xfId="0" applyFont="1" applyFill="1" applyBorder="1" applyAlignment="1">
      <alignment horizontal="center"/>
    </xf>
    <xf numFmtId="165" fontId="0" fillId="0" borderId="0" xfId="0" applyNumberFormat="1"/>
    <xf numFmtId="165" fontId="0" fillId="0" borderId="1" xfId="1" applyNumberFormat="1" applyFont="1" applyBorder="1"/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65" fontId="0" fillId="0" borderId="0" xfId="1" applyNumberFormat="1" applyFont="1" applyBorder="1"/>
    <xf numFmtId="43" fontId="0" fillId="0" borderId="15" xfId="1" applyFont="1" applyBorder="1"/>
    <xf numFmtId="43" fontId="0" fillId="0" borderId="16" xfId="1" applyFont="1" applyBorder="1"/>
    <xf numFmtId="0" fontId="0" fillId="0" borderId="18" xfId="0" applyBorder="1"/>
    <xf numFmtId="165" fontId="0" fillId="0" borderId="19" xfId="1" applyNumberFormat="1" applyFont="1" applyBorder="1"/>
    <xf numFmtId="43" fontId="0" fillId="0" borderId="20" xfId="1" applyFont="1" applyBorder="1"/>
    <xf numFmtId="0" fontId="0" fillId="6" borderId="14" xfId="0" applyFill="1" applyBorder="1"/>
    <xf numFmtId="0" fontId="0" fillId="0" borderId="15" xfId="0" applyBorder="1"/>
    <xf numFmtId="43" fontId="0" fillId="0" borderId="0" xfId="1" applyFont="1" applyBorder="1"/>
    <xf numFmtId="0" fontId="2" fillId="0" borderId="18" xfId="0" applyFont="1" applyBorder="1"/>
    <xf numFmtId="165" fontId="2" fillId="0" borderId="19" xfId="0" applyNumberFormat="1" applyFont="1" applyBorder="1"/>
    <xf numFmtId="43" fontId="0" fillId="0" borderId="19" xfId="1" applyFont="1" applyBorder="1"/>
    <xf numFmtId="0" fontId="2" fillId="6" borderId="10" xfId="0" applyFont="1" applyFill="1" applyBorder="1"/>
    <xf numFmtId="165" fontId="0" fillId="2" borderId="0" xfId="1" applyNumberFormat="1" applyFont="1" applyFill="1"/>
    <xf numFmtId="165" fontId="0" fillId="3" borderId="0" xfId="1" applyNumberFormat="1" applyFont="1" applyFill="1"/>
    <xf numFmtId="165" fontId="2" fillId="2" borderId="0" xfId="1" applyNumberFormat="1" applyFont="1" applyFill="1"/>
    <xf numFmtId="167" fontId="0" fillId="0" borderId="0" xfId="0" applyNumberFormat="1"/>
    <xf numFmtId="0" fontId="2" fillId="4" borderId="32" xfId="0" applyFont="1" applyFill="1" applyBorder="1"/>
    <xf numFmtId="43" fontId="2" fillId="4" borderId="33" xfId="0" applyNumberFormat="1" applyFont="1" applyFill="1" applyBorder="1"/>
    <xf numFmtId="0" fontId="2" fillId="4" borderId="0" xfId="0" applyFont="1" applyFill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43" fontId="2" fillId="4" borderId="0" xfId="0" applyNumberFormat="1" applyFont="1" applyFill="1"/>
    <xf numFmtId="43" fontId="0" fillId="4" borderId="33" xfId="0" applyNumberFormat="1" applyFill="1" applyBorder="1"/>
    <xf numFmtId="0" fontId="0" fillId="4" borderId="32" xfId="0" applyFill="1" applyBorder="1"/>
    <xf numFmtId="165" fontId="1" fillId="4" borderId="33" xfId="1" applyNumberFormat="1" applyFont="1" applyFill="1" applyBorder="1"/>
    <xf numFmtId="0" fontId="2" fillId="3" borderId="22" xfId="0" applyFont="1" applyFill="1" applyBorder="1" applyAlignment="1">
      <alignment horizontal="center"/>
    </xf>
    <xf numFmtId="165" fontId="0" fillId="3" borderId="6" xfId="1" applyNumberFormat="1" applyFont="1" applyFill="1" applyBorder="1"/>
    <xf numFmtId="165" fontId="1" fillId="4" borderId="21" xfId="1" applyNumberFormat="1" applyFont="1" applyFill="1" applyBorder="1"/>
    <xf numFmtId="43" fontId="0" fillId="4" borderId="9" xfId="0" applyNumberFormat="1" applyFill="1" applyBorder="1"/>
    <xf numFmtId="165" fontId="1" fillId="4" borderId="22" xfId="1" applyNumberFormat="1" applyFont="1" applyFill="1" applyBorder="1"/>
    <xf numFmtId="0" fontId="11" fillId="10" borderId="14" xfId="0" applyFont="1" applyFill="1" applyBorder="1"/>
    <xf numFmtId="0" fontId="12" fillId="10" borderId="14" xfId="0" applyFont="1" applyFill="1" applyBorder="1"/>
    <xf numFmtId="0" fontId="12" fillId="12" borderId="18" xfId="0" applyFont="1" applyFill="1" applyBorder="1"/>
    <xf numFmtId="0" fontId="12" fillId="10" borderId="0" xfId="0" applyFont="1" applyFill="1" applyAlignment="1">
      <alignment horizontal="center"/>
    </xf>
    <xf numFmtId="43" fontId="11" fillId="11" borderId="0" xfId="1" applyFont="1" applyFill="1" applyBorder="1"/>
    <xf numFmtId="43" fontId="5" fillId="3" borderId="0" xfId="1" applyFont="1" applyFill="1" applyBorder="1"/>
    <xf numFmtId="166" fontId="0" fillId="2" borderId="4" xfId="2" applyNumberFormat="1" applyFont="1" applyFill="1" applyBorder="1"/>
    <xf numFmtId="166" fontId="0" fillId="2" borderId="8" xfId="2" applyNumberFormat="1" applyFont="1" applyFill="1" applyBorder="1"/>
    <xf numFmtId="0" fontId="2" fillId="2" borderId="11" xfId="0" applyFont="1" applyFill="1" applyBorder="1" applyAlignment="1">
      <alignment horizontal="center"/>
    </xf>
    <xf numFmtId="43" fontId="12" fillId="13" borderId="19" xfId="1" applyFont="1" applyFill="1" applyBorder="1"/>
    <xf numFmtId="0" fontId="5" fillId="2" borderId="10" xfId="0" applyFont="1" applyFill="1" applyBorder="1" applyAlignment="1">
      <alignment horizontal="center"/>
    </xf>
    <xf numFmtId="2" fontId="0" fillId="0" borderId="0" xfId="0" applyNumberFormat="1"/>
    <xf numFmtId="164" fontId="2" fillId="4" borderId="33" xfId="1" applyNumberFormat="1" applyFont="1" applyFill="1" applyBorder="1"/>
    <xf numFmtId="169" fontId="0" fillId="0" borderId="0" xfId="0" applyNumberFormat="1"/>
    <xf numFmtId="168" fontId="0" fillId="0" borderId="0" xfId="0" applyNumberFormat="1"/>
    <xf numFmtId="0" fontId="10" fillId="3" borderId="0" xfId="0" applyFont="1" applyFill="1"/>
    <xf numFmtId="0" fontId="5" fillId="3" borderId="0" xfId="0" applyFont="1" applyFill="1"/>
    <xf numFmtId="0" fontId="13" fillId="3" borderId="0" xfId="0" applyFont="1" applyFill="1"/>
    <xf numFmtId="0" fontId="15" fillId="3" borderId="0" xfId="0" applyFont="1" applyFill="1" applyAlignment="1">
      <alignment horizontal="left" vertical="center"/>
    </xf>
    <xf numFmtId="0" fontId="5" fillId="4" borderId="0" xfId="0" applyFont="1" applyFill="1"/>
    <xf numFmtId="0" fontId="5" fillId="3" borderId="15" xfId="0" applyFont="1" applyFill="1" applyBorder="1"/>
    <xf numFmtId="164" fontId="5" fillId="3" borderId="0" xfId="1" applyNumberFormat="1" applyFont="1" applyFill="1" applyBorder="1"/>
    <xf numFmtId="164" fontId="10" fillId="3" borderId="15" xfId="1" applyNumberFormat="1" applyFont="1" applyFill="1" applyBorder="1"/>
    <xf numFmtId="164" fontId="13" fillId="3" borderId="0" xfId="1" applyNumberFormat="1" applyFont="1" applyFill="1" applyBorder="1"/>
    <xf numFmtId="164" fontId="13" fillId="3" borderId="15" xfId="1" applyNumberFormat="1" applyFont="1" applyFill="1" applyBorder="1"/>
    <xf numFmtId="0" fontId="10" fillId="3" borderId="14" xfId="0" applyFont="1" applyFill="1" applyBorder="1"/>
    <xf numFmtId="164" fontId="10" fillId="3" borderId="0" xfId="1" applyNumberFormat="1" applyFont="1" applyFill="1" applyBorder="1"/>
    <xf numFmtId="164" fontId="5" fillId="3" borderId="15" xfId="1" applyNumberFormat="1" applyFont="1" applyFill="1" applyBorder="1"/>
    <xf numFmtId="164" fontId="14" fillId="3" borderId="0" xfId="1" applyNumberFormat="1" applyFont="1" applyFill="1" applyBorder="1"/>
    <xf numFmtId="164" fontId="14" fillId="3" borderId="15" xfId="1" applyNumberFormat="1" applyFont="1" applyFill="1" applyBorder="1"/>
    <xf numFmtId="43" fontId="5" fillId="3" borderId="15" xfId="1" applyFont="1" applyFill="1" applyBorder="1"/>
    <xf numFmtId="43" fontId="10" fillId="3" borderId="0" xfId="1" applyFont="1" applyFill="1" applyBorder="1"/>
    <xf numFmtId="43" fontId="10" fillId="3" borderId="15" xfId="1" applyFont="1" applyFill="1" applyBorder="1"/>
    <xf numFmtId="165" fontId="5" fillId="3" borderId="0" xfId="1" applyNumberFormat="1" applyFont="1" applyFill="1" applyBorder="1"/>
    <xf numFmtId="165" fontId="5" fillId="3" borderId="15" xfId="1" applyNumberFormat="1" applyFont="1" applyFill="1" applyBorder="1"/>
    <xf numFmtId="165" fontId="10" fillId="3" borderId="0" xfId="1" applyNumberFormat="1" applyFont="1" applyFill="1" applyBorder="1"/>
    <xf numFmtId="165" fontId="10" fillId="3" borderId="15" xfId="1" applyNumberFormat="1" applyFont="1" applyFill="1" applyBorder="1"/>
    <xf numFmtId="0" fontId="10" fillId="4" borderId="18" xfId="0" applyFont="1" applyFill="1" applyBorder="1"/>
    <xf numFmtId="0" fontId="5" fillId="4" borderId="19" xfId="0" applyFont="1" applyFill="1" applyBorder="1"/>
    <xf numFmtId="164" fontId="10" fillId="4" borderId="19" xfId="1" applyNumberFormat="1" applyFont="1" applyFill="1" applyBorder="1"/>
    <xf numFmtId="164" fontId="10" fillId="4" borderId="20" xfId="1" applyNumberFormat="1" applyFont="1" applyFill="1" applyBorder="1"/>
    <xf numFmtId="0" fontId="16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164" fontId="20" fillId="3" borderId="0" xfId="1" applyNumberFormat="1" applyFont="1" applyFill="1" applyBorder="1"/>
    <xf numFmtId="164" fontId="20" fillId="3" borderId="15" xfId="1" applyNumberFormat="1" applyFont="1" applyFill="1" applyBorder="1"/>
    <xf numFmtId="0" fontId="21" fillId="3" borderId="0" xfId="0" applyFont="1" applyFill="1" applyAlignment="1">
      <alignment horizontal="left" vertical="center"/>
    </xf>
    <xf numFmtId="0" fontId="20" fillId="3" borderId="0" xfId="0" applyFont="1" applyFill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22" fillId="4" borderId="0" xfId="0" applyFont="1" applyFill="1"/>
    <xf numFmtId="0" fontId="22" fillId="4" borderId="0" xfId="0" applyFont="1" applyFill="1" applyAlignment="1">
      <alignment horizontal="center"/>
    </xf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17" fillId="3" borderId="0" xfId="0" applyFont="1" applyFill="1"/>
    <xf numFmtId="164" fontId="17" fillId="3" borderId="0" xfId="1" applyNumberFormat="1" applyFont="1" applyFill="1" applyAlignment="1">
      <alignment horizontal="center"/>
    </xf>
    <xf numFmtId="164" fontId="22" fillId="3" borderId="0" xfId="1" applyNumberFormat="1" applyFont="1" applyFill="1"/>
    <xf numFmtId="164" fontId="17" fillId="3" borderId="0" xfId="1" applyNumberFormat="1" applyFont="1" applyFill="1"/>
    <xf numFmtId="0" fontId="23" fillId="3" borderId="0" xfId="0" applyFont="1" applyFill="1"/>
    <xf numFmtId="43" fontId="17" fillId="3" borderId="0" xfId="1" applyFont="1" applyFill="1"/>
    <xf numFmtId="43" fontId="22" fillId="3" borderId="0" xfId="1" applyFont="1" applyFill="1"/>
    <xf numFmtId="0" fontId="24" fillId="3" borderId="0" xfId="0" applyFont="1" applyFill="1"/>
    <xf numFmtId="0" fontId="24" fillId="4" borderId="0" xfId="0" applyFont="1" applyFill="1"/>
    <xf numFmtId="0" fontId="25" fillId="3" borderId="0" xfId="0" applyFont="1" applyFill="1" applyAlignment="1">
      <alignment horizontal="left" vertical="center"/>
    </xf>
    <xf numFmtId="168" fontId="17" fillId="3" borderId="0" xfId="1" applyNumberFormat="1" applyFont="1" applyFill="1"/>
    <xf numFmtId="9" fontId="17" fillId="3" borderId="0" xfId="2" applyFont="1" applyFill="1"/>
    <xf numFmtId="9" fontId="22" fillId="3" borderId="0" xfId="2" applyFont="1" applyFill="1"/>
    <xf numFmtId="0" fontId="26" fillId="3" borderId="0" xfId="0" applyFont="1" applyFill="1"/>
    <xf numFmtId="0" fontId="18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43" fontId="17" fillId="3" borderId="0" xfId="1" applyFont="1" applyFill="1" applyAlignment="1">
      <alignment horizontal="right"/>
    </xf>
    <xf numFmtId="0" fontId="15" fillId="3" borderId="5" xfId="0" applyFont="1" applyFill="1" applyBorder="1" applyAlignment="1">
      <alignment horizontal="left" vertical="center"/>
    </xf>
    <xf numFmtId="164" fontId="17" fillId="3" borderId="0" xfId="1" applyNumberFormat="1" applyFont="1" applyFill="1" applyBorder="1"/>
    <xf numFmtId="43" fontId="22" fillId="3" borderId="6" xfId="1" applyFont="1" applyFill="1" applyBorder="1"/>
    <xf numFmtId="43" fontId="22" fillId="3" borderId="0" xfId="1" applyFont="1" applyFill="1" applyBorder="1"/>
    <xf numFmtId="164" fontId="22" fillId="3" borderId="6" xfId="1" applyNumberFormat="1" applyFont="1" applyFill="1" applyBorder="1"/>
    <xf numFmtId="0" fontId="18" fillId="3" borderId="5" xfId="0" applyFont="1" applyFill="1" applyBorder="1" applyAlignment="1">
      <alignment horizontal="left" vertical="center"/>
    </xf>
    <xf numFmtId="0" fontId="5" fillId="2" borderId="3" xfId="0" applyFont="1" applyFill="1" applyBorder="1"/>
    <xf numFmtId="164" fontId="10" fillId="2" borderId="3" xfId="1" applyNumberFormat="1" applyFont="1" applyFill="1" applyBorder="1"/>
    <xf numFmtId="164" fontId="10" fillId="2" borderId="4" xfId="1" applyNumberFormat="1" applyFont="1" applyFill="1" applyBorder="1"/>
    <xf numFmtId="0" fontId="21" fillId="2" borderId="5" xfId="0" applyFont="1" applyFill="1" applyBorder="1" applyAlignment="1">
      <alignment horizontal="left" vertical="center"/>
    </xf>
    <xf numFmtId="0" fontId="20" fillId="2" borderId="0" xfId="0" applyFont="1" applyFill="1"/>
    <xf numFmtId="164" fontId="20" fillId="2" borderId="0" xfId="1" applyNumberFormat="1" applyFont="1" applyFill="1" applyBorder="1"/>
    <xf numFmtId="164" fontId="20" fillId="2" borderId="6" xfId="1" applyNumberFormat="1" applyFont="1" applyFill="1" applyBorder="1"/>
    <xf numFmtId="0" fontId="20" fillId="2" borderId="1" xfId="0" applyFont="1" applyFill="1" applyBorder="1"/>
    <xf numFmtId="164" fontId="20" fillId="2" borderId="1" xfId="1" applyNumberFormat="1" applyFont="1" applyFill="1" applyBorder="1"/>
    <xf numFmtId="164" fontId="20" fillId="2" borderId="8" xfId="1" applyNumberFormat="1" applyFont="1" applyFill="1" applyBorder="1"/>
    <xf numFmtId="0" fontId="18" fillId="2" borderId="2" xfId="0" applyFont="1" applyFill="1" applyBorder="1" applyAlignment="1">
      <alignment horizontal="left" vertical="center"/>
    </xf>
    <xf numFmtId="43" fontId="5" fillId="4" borderId="0" xfId="1" applyFont="1" applyFill="1" applyBorder="1"/>
    <xf numFmtId="0" fontId="18" fillId="4" borderId="2" xfId="0" applyFont="1" applyFill="1" applyBorder="1" applyAlignment="1">
      <alignment horizontal="left" vertical="center"/>
    </xf>
    <xf numFmtId="0" fontId="10" fillId="4" borderId="3" xfId="0" applyFont="1" applyFill="1" applyBorder="1"/>
    <xf numFmtId="43" fontId="10" fillId="4" borderId="3" xfId="1" applyFont="1" applyFill="1" applyBorder="1"/>
    <xf numFmtId="43" fontId="10" fillId="4" borderId="4" xfId="1" applyFont="1" applyFill="1" applyBorder="1"/>
    <xf numFmtId="0" fontId="15" fillId="4" borderId="5" xfId="0" applyFont="1" applyFill="1" applyBorder="1" applyAlignment="1">
      <alignment horizontal="left" vertical="center"/>
    </xf>
    <xf numFmtId="0" fontId="10" fillId="4" borderId="0" xfId="0" applyFont="1" applyFill="1"/>
    <xf numFmtId="43" fontId="10" fillId="4" borderId="6" xfId="1" applyFont="1" applyFill="1" applyBorder="1"/>
    <xf numFmtId="0" fontId="15" fillId="4" borderId="7" xfId="0" applyFont="1" applyFill="1" applyBorder="1" applyAlignment="1">
      <alignment horizontal="left" vertical="center"/>
    </xf>
    <xf numFmtId="0" fontId="10" fillId="4" borderId="1" xfId="0" applyFont="1" applyFill="1" applyBorder="1"/>
    <xf numFmtId="166" fontId="17" fillId="3" borderId="0" xfId="2" applyNumberFormat="1" applyFont="1" applyFill="1"/>
    <xf numFmtId="164" fontId="22" fillId="3" borderId="0" xfId="1" applyNumberFormat="1" applyFont="1" applyFill="1" applyBorder="1"/>
    <xf numFmtId="0" fontId="18" fillId="2" borderId="5" xfId="0" applyFont="1" applyFill="1" applyBorder="1" applyAlignment="1">
      <alignment horizontal="left" vertical="center"/>
    </xf>
    <xf numFmtId="0" fontId="5" fillId="2" borderId="0" xfId="0" applyFont="1" applyFill="1"/>
    <xf numFmtId="164" fontId="10" fillId="2" borderId="0" xfId="1" applyNumberFormat="1" applyFont="1" applyFill="1" applyBorder="1"/>
    <xf numFmtId="164" fontId="10" fillId="2" borderId="6" xfId="1" applyNumberFormat="1" applyFont="1" applyFill="1" applyBorder="1"/>
    <xf numFmtId="0" fontId="15" fillId="2" borderId="0" xfId="0" applyFont="1" applyFill="1" applyAlignment="1">
      <alignment horizontal="left" vertical="center"/>
    </xf>
    <xf numFmtId="0" fontId="17" fillId="2" borderId="0" xfId="0" applyFont="1" applyFill="1"/>
    <xf numFmtId="164" fontId="17" fillId="2" borderId="0" xfId="1" applyNumberFormat="1" applyFont="1" applyFill="1" applyBorder="1"/>
    <xf numFmtId="164" fontId="22" fillId="2" borderId="6" xfId="1" applyNumberFormat="1" applyFont="1" applyFill="1" applyBorder="1"/>
    <xf numFmtId="0" fontId="15" fillId="2" borderId="5" xfId="0" applyFont="1" applyFill="1" applyBorder="1" applyAlignment="1">
      <alignment horizontal="left" vertical="center"/>
    </xf>
    <xf numFmtId="164" fontId="27" fillId="2" borderId="0" xfId="1" applyNumberFormat="1" applyFont="1" applyFill="1" applyBorder="1"/>
    <xf numFmtId="43" fontId="12" fillId="13" borderId="9" xfId="1" applyFont="1" applyFill="1" applyBorder="1"/>
    <xf numFmtId="43" fontId="10" fillId="4" borderId="9" xfId="1" applyFont="1" applyFill="1" applyBorder="1"/>
    <xf numFmtId="43" fontId="0" fillId="3" borderId="0" xfId="1" applyFont="1" applyFill="1"/>
    <xf numFmtId="0" fontId="17" fillId="0" borderId="0" xfId="0" applyFont="1"/>
    <xf numFmtId="164" fontId="17" fillId="0" borderId="0" xfId="0" applyNumberFormat="1" applyFont="1"/>
    <xf numFmtId="43" fontId="17" fillId="0" borderId="0" xfId="0" applyNumberFormat="1" applyFont="1"/>
    <xf numFmtId="49" fontId="17" fillId="0" borderId="0" xfId="0" applyNumberFormat="1" applyFont="1"/>
    <xf numFmtId="0" fontId="11" fillId="10" borderId="1" xfId="0" applyFont="1" applyFill="1" applyBorder="1" applyAlignment="1">
      <alignment horizontal="center"/>
    </xf>
    <xf numFmtId="43" fontId="5" fillId="4" borderId="0" xfId="0" applyNumberFormat="1" applyFont="1" applyFill="1"/>
    <xf numFmtId="0" fontId="5" fillId="3" borderId="1" xfId="0" applyFont="1" applyFill="1" applyBorder="1"/>
    <xf numFmtId="0" fontId="17" fillId="3" borderId="0" xfId="0" applyFont="1" applyFill="1" applyAlignment="1">
      <alignment horizontal="left"/>
    </xf>
    <xf numFmtId="164" fontId="17" fillId="3" borderId="1" xfId="1" applyNumberFormat="1" applyFont="1" applyFill="1" applyBorder="1"/>
    <xf numFmtId="164" fontId="22" fillId="3" borderId="1" xfId="1" applyNumberFormat="1" applyFont="1" applyFill="1" applyBorder="1"/>
    <xf numFmtId="165" fontId="17" fillId="3" borderId="0" xfId="1" applyNumberFormat="1" applyFont="1" applyFill="1"/>
    <xf numFmtId="43" fontId="20" fillId="3" borderId="0" xfId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9" xfId="0" applyFont="1" applyFill="1" applyBorder="1"/>
    <xf numFmtId="0" fontId="25" fillId="4" borderId="2" xfId="0" applyFont="1" applyFill="1" applyBorder="1" applyAlignment="1">
      <alignment horizontal="left" vertical="center"/>
    </xf>
    <xf numFmtId="0" fontId="17" fillId="4" borderId="3" xfId="0" applyFont="1" applyFill="1" applyBorder="1"/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17" fillId="3" borderId="1" xfId="0" applyFont="1" applyFill="1" applyBorder="1"/>
    <xf numFmtId="164" fontId="22" fillId="3" borderId="8" xfId="1" applyNumberFormat="1" applyFont="1" applyFill="1" applyBorder="1"/>
    <xf numFmtId="43" fontId="17" fillId="3" borderId="0" xfId="1" applyFont="1" applyFill="1" applyBorder="1"/>
    <xf numFmtId="166" fontId="17" fillId="3" borderId="0" xfId="2" applyNumberFormat="1" applyFont="1" applyFill="1" applyBorder="1"/>
    <xf numFmtId="0" fontId="15" fillId="4" borderId="9" xfId="0" applyFont="1" applyFill="1" applyBorder="1" applyAlignment="1">
      <alignment horizontal="left" vertical="center"/>
    </xf>
    <xf numFmtId="0" fontId="17" fillId="4" borderId="9" xfId="0" applyFont="1" applyFill="1" applyBorder="1" applyAlignment="1">
      <alignment horizontal="center"/>
    </xf>
    <xf numFmtId="165" fontId="5" fillId="4" borderId="9" xfId="1" applyNumberFormat="1" applyFont="1" applyFill="1" applyBorder="1"/>
    <xf numFmtId="43" fontId="10" fillId="3" borderId="0" xfId="0" applyNumberFormat="1" applyFont="1" applyFill="1"/>
    <xf numFmtId="43" fontId="10" fillId="4" borderId="0" xfId="1" applyFont="1" applyFill="1" applyBorder="1"/>
    <xf numFmtId="165" fontId="10" fillId="4" borderId="9" xfId="1" applyNumberFormat="1" applyFont="1" applyFill="1" applyBorder="1"/>
    <xf numFmtId="173" fontId="22" fillId="3" borderId="0" xfId="1" applyNumberFormat="1" applyFont="1" applyFill="1" applyBorder="1"/>
    <xf numFmtId="43" fontId="2" fillId="2" borderId="0" xfId="1" applyFont="1" applyFill="1"/>
    <xf numFmtId="165" fontId="0" fillId="14" borderId="0" xfId="1" applyNumberFormat="1" applyFont="1" applyFill="1"/>
    <xf numFmtId="0" fontId="15" fillId="3" borderId="0" xfId="0" applyFont="1" applyFill="1" applyAlignment="1">
      <alignment vertical="center"/>
    </xf>
    <xf numFmtId="0" fontId="25" fillId="3" borderId="2" xfId="0" applyFont="1" applyFill="1" applyBorder="1" applyAlignment="1">
      <alignment horizontal="left" vertical="center"/>
    </xf>
    <xf numFmtId="0" fontId="17" fillId="3" borderId="3" xfId="0" applyFont="1" applyFill="1" applyBorder="1"/>
    <xf numFmtId="0" fontId="22" fillId="3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164" fontId="22" fillId="3" borderId="3" xfId="1" applyNumberFormat="1" applyFont="1" applyFill="1" applyBorder="1"/>
    <xf numFmtId="43" fontId="17" fillId="3" borderId="3" xfId="1" applyFont="1" applyFill="1" applyBorder="1"/>
    <xf numFmtId="43" fontId="17" fillId="3" borderId="1" xfId="1" applyFont="1" applyFill="1" applyBorder="1"/>
    <xf numFmtId="43" fontId="22" fillId="3" borderId="0" xfId="1" applyFont="1" applyFill="1" applyAlignment="1">
      <alignment horizontal="center"/>
    </xf>
    <xf numFmtId="0" fontId="15" fillId="2" borderId="2" xfId="0" applyFont="1" applyFill="1" applyBorder="1" applyAlignment="1">
      <alignment horizontal="left" vertical="center"/>
    </xf>
    <xf numFmtId="0" fontId="17" fillId="2" borderId="3" xfId="0" applyFont="1" applyFill="1" applyBorder="1"/>
    <xf numFmtId="43" fontId="17" fillId="2" borderId="3" xfId="0" applyNumberFormat="1" applyFont="1" applyFill="1" applyBorder="1"/>
    <xf numFmtId="43" fontId="17" fillId="2" borderId="4" xfId="0" applyNumberFormat="1" applyFont="1" applyFill="1" applyBorder="1"/>
    <xf numFmtId="0" fontId="15" fillId="2" borderId="7" xfId="0" applyFont="1" applyFill="1" applyBorder="1" applyAlignment="1">
      <alignment horizontal="left" vertical="center"/>
    </xf>
    <xf numFmtId="0" fontId="17" fillId="2" borderId="1" xfId="0" applyFont="1" applyFill="1" applyBorder="1"/>
    <xf numFmtId="43" fontId="17" fillId="2" borderId="1" xfId="0" applyNumberFormat="1" applyFont="1" applyFill="1" applyBorder="1"/>
    <xf numFmtId="43" fontId="17" fillId="2" borderId="8" xfId="0" applyNumberFormat="1" applyFont="1" applyFill="1" applyBorder="1"/>
    <xf numFmtId="0" fontId="22" fillId="3" borderId="2" xfId="0" applyFont="1" applyFill="1" applyBorder="1"/>
    <xf numFmtId="0" fontId="17" fillId="3" borderId="4" xfId="0" applyFont="1" applyFill="1" applyBorder="1"/>
    <xf numFmtId="0" fontId="17" fillId="3" borderId="5" xfId="0" applyFont="1" applyFill="1" applyBorder="1"/>
    <xf numFmtId="43" fontId="17" fillId="3" borderId="0" xfId="0" applyNumberFormat="1" applyFont="1" applyFill="1"/>
    <xf numFmtId="43" fontId="17" fillId="3" borderId="6" xfId="0" applyNumberFormat="1" applyFont="1" applyFill="1" applyBorder="1"/>
    <xf numFmtId="43" fontId="17" fillId="3" borderId="6" xfId="1" applyFont="1" applyFill="1" applyBorder="1"/>
    <xf numFmtId="0" fontId="17" fillId="3" borderId="7" xfId="0" applyFont="1" applyFill="1" applyBorder="1"/>
    <xf numFmtId="43" fontId="17" fillId="3" borderId="8" xfId="1" applyFont="1" applyFill="1" applyBorder="1"/>
    <xf numFmtId="0" fontId="22" fillId="2" borderId="7" xfId="0" applyFont="1" applyFill="1" applyBorder="1"/>
    <xf numFmtId="0" fontId="22" fillId="2" borderId="1" xfId="0" applyFont="1" applyFill="1" applyBorder="1"/>
    <xf numFmtId="43" fontId="22" fillId="2" borderId="1" xfId="1" applyFont="1" applyFill="1" applyBorder="1"/>
    <xf numFmtId="43" fontId="22" fillId="2" borderId="8" xfId="1" applyFont="1" applyFill="1" applyBorder="1"/>
    <xf numFmtId="43" fontId="17" fillId="2" borderId="2" xfId="0" applyNumberFormat="1" applyFont="1" applyFill="1" applyBorder="1"/>
    <xf numFmtId="43" fontId="17" fillId="2" borderId="7" xfId="0" applyNumberFormat="1" applyFont="1" applyFill="1" applyBorder="1"/>
    <xf numFmtId="0" fontId="0" fillId="3" borderId="2" xfId="0" applyFill="1" applyBorder="1"/>
    <xf numFmtId="0" fontId="0" fillId="3" borderId="4" xfId="0" applyFill="1" applyBorder="1"/>
    <xf numFmtId="43" fontId="17" fillId="3" borderId="5" xfId="0" applyNumberFormat="1" applyFont="1" applyFill="1" applyBorder="1"/>
    <xf numFmtId="43" fontId="17" fillId="3" borderId="7" xfId="0" applyNumberFormat="1" applyFont="1" applyFill="1" applyBorder="1"/>
    <xf numFmtId="43" fontId="17" fillId="3" borderId="8" xfId="0" applyNumberFormat="1" applyFont="1" applyFill="1" applyBorder="1"/>
    <xf numFmtId="43" fontId="22" fillId="2" borderId="0" xfId="1" applyFont="1" applyFill="1" applyBorder="1"/>
    <xf numFmtId="43" fontId="17" fillId="3" borderId="5" xfId="1" applyFont="1" applyFill="1" applyBorder="1"/>
    <xf numFmtId="43" fontId="22" fillId="2" borderId="7" xfId="1" applyFont="1" applyFill="1" applyBorder="1"/>
    <xf numFmtId="165" fontId="17" fillId="3" borderId="5" xfId="1" applyNumberFormat="1" applyFont="1" applyFill="1" applyBorder="1"/>
    <xf numFmtId="165" fontId="22" fillId="3" borderId="0" xfId="1" applyNumberFormat="1" applyFont="1" applyFill="1" applyBorder="1"/>
    <xf numFmtId="165" fontId="17" fillId="3" borderId="0" xfId="1" applyNumberFormat="1" applyFont="1" applyFill="1" applyBorder="1"/>
    <xf numFmtId="0" fontId="17" fillId="3" borderId="2" xfId="0" applyFont="1" applyFill="1" applyBorder="1"/>
    <xf numFmtId="0" fontId="5" fillId="3" borderId="6" xfId="0" applyFont="1" applyFill="1" applyBorder="1"/>
    <xf numFmtId="165" fontId="17" fillId="3" borderId="6" xfId="1" applyNumberFormat="1" applyFont="1" applyFill="1" applyBorder="1"/>
    <xf numFmtId="165" fontId="22" fillId="3" borderId="6" xfId="1" applyNumberFormat="1" applyFont="1" applyFill="1" applyBorder="1"/>
    <xf numFmtId="0" fontId="28" fillId="3" borderId="0" xfId="0" applyFont="1" applyFill="1"/>
    <xf numFmtId="164" fontId="17" fillId="3" borderId="6" xfId="1" applyNumberFormat="1" applyFont="1" applyFill="1" applyBorder="1"/>
    <xf numFmtId="0" fontId="17" fillId="3" borderId="5" xfId="0" applyFont="1" applyFill="1" applyBorder="1" applyAlignment="1">
      <alignment horizontal="left" vertical="center"/>
    </xf>
    <xf numFmtId="0" fontId="17" fillId="3" borderId="6" xfId="0" applyFont="1" applyFill="1" applyBorder="1"/>
    <xf numFmtId="0" fontId="10" fillId="3" borderId="5" xfId="0" applyFont="1" applyFill="1" applyBorder="1"/>
    <xf numFmtId="164" fontId="10" fillId="3" borderId="6" xfId="1" applyNumberFormat="1" applyFont="1" applyFill="1" applyBorder="1"/>
    <xf numFmtId="0" fontId="10" fillId="4" borderId="7" xfId="0" applyFont="1" applyFill="1" applyBorder="1"/>
    <xf numFmtId="0" fontId="5" fillId="4" borderId="1" xfId="0" applyFont="1" applyFill="1" applyBorder="1"/>
    <xf numFmtId="164" fontId="10" fillId="4" borderId="1" xfId="1" applyNumberFormat="1" applyFont="1" applyFill="1" applyBorder="1"/>
    <xf numFmtId="164" fontId="10" fillId="4" borderId="8" xfId="1" applyNumberFormat="1" applyFont="1" applyFill="1" applyBorder="1"/>
    <xf numFmtId="0" fontId="22" fillId="2" borderId="5" xfId="0" applyFont="1" applyFill="1" applyBorder="1"/>
    <xf numFmtId="0" fontId="22" fillId="2" borderId="0" xfId="0" applyFont="1" applyFill="1"/>
    <xf numFmtId="0" fontId="22" fillId="3" borderId="5" xfId="0" applyFont="1" applyFill="1" applyBorder="1"/>
    <xf numFmtId="0" fontId="22" fillId="4" borderId="5" xfId="0" applyFont="1" applyFill="1" applyBorder="1"/>
    <xf numFmtId="0" fontId="17" fillId="4" borderId="0" xfId="0" applyFont="1" applyFill="1"/>
    <xf numFmtId="0" fontId="17" fillId="4" borderId="6" xfId="0" applyFont="1" applyFill="1" applyBorder="1"/>
    <xf numFmtId="0" fontId="22" fillId="2" borderId="21" xfId="0" applyFont="1" applyFill="1" applyBorder="1"/>
    <xf numFmtId="0" fontId="22" fillId="2" borderId="9" xfId="0" applyFont="1" applyFill="1" applyBorder="1"/>
    <xf numFmtId="43" fontId="22" fillId="2" borderId="9" xfId="1" applyFont="1" applyFill="1" applyBorder="1"/>
    <xf numFmtId="43" fontId="22" fillId="2" borderId="22" xfId="1" applyFont="1" applyFill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3" fontId="17" fillId="2" borderId="0" xfId="0" applyNumberFormat="1" applyFont="1" applyFill="1"/>
    <xf numFmtId="164" fontId="18" fillId="3" borderId="5" xfId="1" applyNumberFormat="1" applyFont="1" applyFill="1" applyBorder="1" applyAlignment="1">
      <alignment horizontal="left" vertical="center"/>
    </xf>
    <xf numFmtId="164" fontId="5" fillId="3" borderId="0" xfId="1" applyNumberFormat="1" applyFont="1" applyFill="1"/>
    <xf numFmtId="164" fontId="5" fillId="3" borderId="6" xfId="1" applyNumberFormat="1" applyFont="1" applyFill="1" applyBorder="1"/>
    <xf numFmtId="164" fontId="17" fillId="3" borderId="5" xfId="1" applyNumberFormat="1" applyFont="1" applyFill="1" applyBorder="1"/>
    <xf numFmtId="164" fontId="17" fillId="3" borderId="0" xfId="1" applyNumberFormat="1" applyFont="1" applyFill="1" applyAlignment="1">
      <alignment horizontal="left"/>
    </xf>
    <xf numFmtId="43" fontId="2" fillId="4" borderId="0" xfId="0" applyNumberFormat="1" applyFont="1" applyFill="1" applyAlignment="1">
      <alignment horizontal="center"/>
    </xf>
    <xf numFmtId="0" fontId="2" fillId="3" borderId="21" xfId="0" applyFont="1" applyFill="1" applyBorder="1"/>
    <xf numFmtId="0" fontId="2" fillId="3" borderId="0" xfId="0" applyFont="1" applyFill="1"/>
    <xf numFmtId="0" fontId="17" fillId="4" borderId="2" xfId="0" applyFont="1" applyFill="1" applyBorder="1"/>
    <xf numFmtId="0" fontId="17" fillId="6" borderId="5" xfId="0" applyFont="1" applyFill="1" applyBorder="1"/>
    <xf numFmtId="0" fontId="17" fillId="6" borderId="0" xfId="0" applyFont="1" applyFill="1"/>
    <xf numFmtId="165" fontId="17" fillId="6" borderId="0" xfId="1" applyNumberFormat="1" applyFont="1" applyFill="1" applyBorder="1"/>
    <xf numFmtId="0" fontId="22" fillId="6" borderId="0" xfId="0" applyFont="1" applyFill="1"/>
    <xf numFmtId="43" fontId="22" fillId="6" borderId="0" xfId="1" applyFont="1" applyFill="1" applyBorder="1"/>
    <xf numFmtId="166" fontId="22" fillId="6" borderId="0" xfId="2" applyNumberFormat="1" applyFont="1" applyFill="1" applyBorder="1"/>
    <xf numFmtId="0" fontId="29" fillId="6" borderId="0" xfId="3" applyFont="1" applyFill="1" applyBorder="1"/>
    <xf numFmtId="164" fontId="17" fillId="6" borderId="0" xfId="1" applyNumberFormat="1" applyFont="1" applyFill="1" applyBorder="1"/>
    <xf numFmtId="0" fontId="17" fillId="6" borderId="7" xfId="0" applyFont="1" applyFill="1" applyBorder="1"/>
    <xf numFmtId="0" fontId="29" fillId="6" borderId="1" xfId="3" applyFont="1" applyFill="1" applyBorder="1"/>
    <xf numFmtId="0" fontId="17" fillId="6" borderId="1" xfId="0" applyFont="1" applyFill="1" applyBorder="1"/>
    <xf numFmtId="0" fontId="17" fillId="4" borderId="4" xfId="0" applyFont="1" applyFill="1" applyBorder="1"/>
    <xf numFmtId="0" fontId="17" fillId="6" borderId="6" xfId="0" applyFont="1" applyFill="1" applyBorder="1"/>
    <xf numFmtId="0" fontId="29" fillId="6" borderId="6" xfId="3" applyFont="1" applyFill="1" applyBorder="1"/>
    <xf numFmtId="164" fontId="22" fillId="6" borderId="6" xfId="1" applyNumberFormat="1" applyFont="1" applyFill="1" applyBorder="1"/>
    <xf numFmtId="0" fontId="17" fillId="6" borderId="8" xfId="0" applyFont="1" applyFill="1" applyBorder="1"/>
    <xf numFmtId="0" fontId="0" fillId="9" borderId="3" xfId="0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0" fillId="9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9" borderId="2" xfId="0" applyFill="1" applyBorder="1" applyAlignment="1">
      <alignment horizontal="left" vertical="center"/>
    </xf>
    <xf numFmtId="0" fontId="6" fillId="9" borderId="0" xfId="0" applyFont="1" applyFill="1" applyAlignment="1">
      <alignment horizontal="left" vertical="center" wrapText="1"/>
    </xf>
    <xf numFmtId="164" fontId="9" fillId="9" borderId="0" xfId="0" applyNumberFormat="1" applyFont="1" applyFill="1" applyAlignment="1">
      <alignment horizontal="left" vertical="center" wrapText="1"/>
    </xf>
    <xf numFmtId="164" fontId="9" fillId="9" borderId="6" xfId="0" applyNumberFormat="1" applyFont="1" applyFill="1" applyBorder="1" applyAlignment="1">
      <alignment horizontal="left" vertical="center" wrapText="1"/>
    </xf>
    <xf numFmtId="164" fontId="9" fillId="9" borderId="6" xfId="0" applyNumberFormat="1" applyFont="1" applyFill="1" applyBorder="1" applyAlignment="1">
      <alignment horizontal="center" vertical="center" wrapText="1"/>
    </xf>
    <xf numFmtId="0" fontId="5" fillId="9" borderId="0" xfId="0" applyFont="1" applyFill="1"/>
    <xf numFmtId="0" fontId="2" fillId="9" borderId="5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 wrapText="1"/>
    </xf>
    <xf numFmtId="0" fontId="3" fillId="9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vertical="center"/>
    </xf>
    <xf numFmtId="0" fontId="0" fillId="9" borderId="5" xfId="0" applyFill="1" applyBorder="1" applyAlignment="1">
      <alignment horizontal="center"/>
    </xf>
    <xf numFmtId="0" fontId="4" fillId="9" borderId="0" xfId="3" applyFill="1" applyBorder="1"/>
    <xf numFmtId="0" fontId="0" fillId="9" borderId="6" xfId="0" applyFill="1" applyBorder="1"/>
    <xf numFmtId="0" fontId="0" fillId="9" borderId="7" xfId="0" applyFill="1" applyBorder="1" applyAlignment="1">
      <alignment horizontal="center"/>
    </xf>
    <xf numFmtId="0" fontId="4" fillId="9" borderId="1" xfId="3" applyFill="1" applyBorder="1"/>
    <xf numFmtId="0" fontId="0" fillId="9" borderId="1" xfId="0" applyFill="1" applyBorder="1"/>
    <xf numFmtId="0" fontId="0" fillId="9" borderId="8" xfId="0" applyFill="1" applyBorder="1"/>
    <xf numFmtId="0" fontId="17" fillId="0" borderId="0" xfId="0" applyFont="1" applyAlignment="1">
      <alignment horizontal="center"/>
    </xf>
    <xf numFmtId="14" fontId="17" fillId="5" borderId="25" xfId="0" applyNumberFormat="1" applyFont="1" applyFill="1" applyBorder="1" applyAlignment="1">
      <alignment horizontal="center"/>
    </xf>
    <xf numFmtId="0" fontId="17" fillId="5" borderId="25" xfId="0" applyFont="1" applyFill="1" applyBorder="1" applyAlignment="1">
      <alignment horizontal="center"/>
    </xf>
    <xf numFmtId="43" fontId="17" fillId="6" borderId="5" xfId="1" applyFont="1" applyFill="1" applyBorder="1"/>
    <xf numFmtId="43" fontId="17" fillId="6" borderId="5" xfId="0" applyNumberFormat="1" applyFont="1" applyFill="1" applyBorder="1"/>
    <xf numFmtId="43" fontId="22" fillId="2" borderId="26" xfId="1" applyFont="1" applyFill="1" applyBorder="1"/>
    <xf numFmtId="43" fontId="22" fillId="2" borderId="31" xfId="1" applyFont="1" applyFill="1" applyBorder="1"/>
    <xf numFmtId="0" fontId="22" fillId="5" borderId="6" xfId="0" applyFont="1" applyFill="1" applyBorder="1"/>
    <xf numFmtId="43" fontId="22" fillId="5" borderId="0" xfId="0" applyNumberFormat="1" applyFont="1" applyFill="1"/>
    <xf numFmtId="0" fontId="17" fillId="5" borderId="29" xfId="0" applyFont="1" applyFill="1" applyBorder="1"/>
    <xf numFmtId="43" fontId="22" fillId="5" borderId="3" xfId="0" applyNumberFormat="1" applyFont="1" applyFill="1" applyBorder="1"/>
    <xf numFmtId="43" fontId="22" fillId="5" borderId="4" xfId="0" applyNumberFormat="1" applyFont="1" applyFill="1" applyBorder="1"/>
    <xf numFmtId="0" fontId="17" fillId="5" borderId="28" xfId="0" applyFont="1" applyFill="1" applyBorder="1"/>
    <xf numFmtId="43" fontId="17" fillId="5" borderId="0" xfId="0" applyNumberFormat="1" applyFont="1" applyFill="1"/>
    <xf numFmtId="43" fontId="22" fillId="5" borderId="6" xfId="0" applyNumberFormat="1" applyFont="1" applyFill="1" applyBorder="1"/>
    <xf numFmtId="0" fontId="17" fillId="5" borderId="27" xfId="0" applyFont="1" applyFill="1" applyBorder="1"/>
    <xf numFmtId="43" fontId="17" fillId="5" borderId="1" xfId="0" applyNumberFormat="1" applyFont="1" applyFill="1" applyBorder="1"/>
    <xf numFmtId="43" fontId="17" fillId="5" borderId="8" xfId="0" applyNumberFormat="1" applyFont="1" applyFill="1" applyBorder="1"/>
    <xf numFmtId="0" fontId="17" fillId="2" borderId="14" xfId="0" applyFont="1" applyFill="1" applyBorder="1"/>
    <xf numFmtId="0" fontId="22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17" xfId="0" applyFont="1" applyFill="1" applyBorder="1"/>
    <xf numFmtId="165" fontId="17" fillId="3" borderId="1" xfId="1" applyNumberFormat="1" applyFont="1" applyFill="1" applyBorder="1"/>
    <xf numFmtId="0" fontId="22" fillId="2" borderId="30" xfId="0" applyFont="1" applyFill="1" applyBorder="1"/>
    <xf numFmtId="165" fontId="22" fillId="2" borderId="26" xfId="1" applyNumberFormat="1" applyFont="1" applyFill="1" applyBorder="1"/>
    <xf numFmtId="0" fontId="29" fillId="3" borderId="0" xfId="3" applyFont="1" applyFill="1"/>
    <xf numFmtId="165" fontId="29" fillId="3" borderId="0" xfId="1" applyNumberFormat="1" applyFont="1" applyFill="1"/>
    <xf numFmtId="0" fontId="17" fillId="2" borderId="0" xfId="0" applyFont="1" applyFill="1" applyAlignment="1">
      <alignment horizontal="center" wrapText="1"/>
    </xf>
    <xf numFmtId="43" fontId="17" fillId="4" borderId="10" xfId="0" applyNumberFormat="1" applyFont="1" applyFill="1" applyBorder="1"/>
    <xf numFmtId="43" fontId="17" fillId="4" borderId="11" xfId="0" applyNumberFormat="1" applyFont="1" applyFill="1" applyBorder="1"/>
    <xf numFmtId="0" fontId="17" fillId="4" borderId="11" xfId="0" applyFont="1" applyFill="1" applyBorder="1"/>
    <xf numFmtId="0" fontId="17" fillId="4" borderId="12" xfId="0" applyFont="1" applyFill="1" applyBorder="1"/>
    <xf numFmtId="43" fontId="17" fillId="4" borderId="14" xfId="0" applyNumberFormat="1" applyFont="1" applyFill="1" applyBorder="1"/>
    <xf numFmtId="0" fontId="17" fillId="4" borderId="15" xfId="0" applyFont="1" applyFill="1" applyBorder="1"/>
    <xf numFmtId="43" fontId="17" fillId="4" borderId="18" xfId="0" applyNumberFormat="1" applyFont="1" applyFill="1" applyBorder="1"/>
    <xf numFmtId="0" fontId="17" fillId="4" borderId="19" xfId="0" applyFont="1" applyFill="1" applyBorder="1"/>
    <xf numFmtId="0" fontId="17" fillId="4" borderId="20" xfId="0" applyFont="1" applyFill="1" applyBorder="1"/>
    <xf numFmtId="0" fontId="22" fillId="8" borderId="1" xfId="0" applyFont="1" applyFill="1" applyBorder="1" applyAlignment="1">
      <alignment horizontal="center"/>
    </xf>
    <xf numFmtId="0" fontId="22" fillId="5" borderId="9" xfId="0" applyFont="1" applyFill="1" applyBorder="1"/>
    <xf numFmtId="0" fontId="22" fillId="7" borderId="0" xfId="0" applyFont="1" applyFill="1"/>
    <xf numFmtId="0" fontId="22" fillId="5" borderId="25" xfId="0" applyFont="1" applyFill="1" applyBorder="1"/>
    <xf numFmtId="0" fontId="22" fillId="5" borderId="21" xfId="0" applyFont="1" applyFill="1" applyBorder="1"/>
    <xf numFmtId="0" fontId="22" fillId="8" borderId="8" xfId="0" applyFont="1" applyFill="1" applyBorder="1" applyAlignment="1">
      <alignment horizontal="center"/>
    </xf>
    <xf numFmtId="0" fontId="17" fillId="6" borderId="28" xfId="0" applyFont="1" applyFill="1" applyBorder="1"/>
    <xf numFmtId="43" fontId="17" fillId="6" borderId="0" xfId="0" applyNumberFormat="1" applyFont="1" applyFill="1"/>
    <xf numFmtId="43" fontId="17" fillId="6" borderId="6" xfId="0" applyNumberFormat="1" applyFont="1" applyFill="1" applyBorder="1"/>
    <xf numFmtId="0" fontId="17" fillId="6" borderId="27" xfId="0" applyFont="1" applyFill="1" applyBorder="1"/>
    <xf numFmtId="43" fontId="22" fillId="5" borderId="9" xfId="0" applyNumberFormat="1" applyFont="1" applyFill="1" applyBorder="1"/>
    <xf numFmtId="43" fontId="22" fillId="5" borderId="22" xfId="0" applyNumberFormat="1" applyFont="1" applyFill="1" applyBorder="1"/>
    <xf numFmtId="14" fontId="17" fillId="5" borderId="29" xfId="0" applyNumberFormat="1" applyFont="1" applyFill="1" applyBorder="1" applyAlignment="1">
      <alignment horizontal="center"/>
    </xf>
    <xf numFmtId="43" fontId="22" fillId="5" borderId="1" xfId="0" applyNumberFormat="1" applyFont="1" applyFill="1" applyBorder="1"/>
    <xf numFmtId="43" fontId="17" fillId="6" borderId="2" xfId="1" applyFont="1" applyFill="1" applyBorder="1"/>
    <xf numFmtId="43" fontId="17" fillId="6" borderId="4" xfId="1" applyFont="1" applyFill="1" applyBorder="1"/>
    <xf numFmtId="43" fontId="17" fillId="6" borderId="6" xfId="1" applyFont="1" applyFill="1" applyBorder="1"/>
    <xf numFmtId="43" fontId="17" fillId="6" borderId="7" xfId="1" applyFont="1" applyFill="1" applyBorder="1"/>
    <xf numFmtId="43" fontId="17" fillId="6" borderId="8" xfId="1" applyFont="1" applyFill="1" applyBorder="1"/>
    <xf numFmtId="164" fontId="22" fillId="2" borderId="26" xfId="1" applyNumberFormat="1" applyFont="1" applyFill="1" applyBorder="1"/>
    <xf numFmtId="174" fontId="0" fillId="0" borderId="0" xfId="0" applyNumberFormat="1"/>
    <xf numFmtId="0" fontId="15" fillId="3" borderId="3" xfId="0" applyFont="1" applyFill="1" applyBorder="1" applyAlignment="1">
      <alignment horizontal="left" vertical="center"/>
    </xf>
    <xf numFmtId="0" fontId="23" fillId="3" borderId="3" xfId="0" applyFont="1" applyFill="1" applyBorder="1"/>
    <xf numFmtId="169" fontId="0" fillId="3" borderId="0" xfId="0" applyNumberFormat="1" applyFill="1"/>
    <xf numFmtId="0" fontId="15" fillId="3" borderId="0" xfId="0" applyFont="1" applyFill="1" applyAlignment="1">
      <alignment horizontal="left" vertical="center"/>
    </xf>
    <xf numFmtId="0" fontId="11" fillId="10" borderId="2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4" borderId="23" xfId="0" applyFont="1" applyFill="1" applyBorder="1" applyAlignment="1">
      <alignment horizontal="left"/>
    </xf>
    <xf numFmtId="0" fontId="22" fillId="4" borderId="24" xfId="0" applyFont="1" applyFill="1" applyBorder="1" applyAlignment="1">
      <alignment horizontal="left"/>
    </xf>
    <xf numFmtId="0" fontId="22" fillId="7" borderId="2" xfId="0" applyFont="1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14" fontId="22" fillId="5" borderId="21" xfId="0" applyNumberFormat="1" applyFont="1" applyFill="1" applyBorder="1" applyAlignment="1">
      <alignment horizontal="center"/>
    </xf>
    <xf numFmtId="14" fontId="22" fillId="5" borderId="9" xfId="0" applyNumberFormat="1" applyFont="1" applyFill="1" applyBorder="1" applyAlignment="1">
      <alignment horizontal="center"/>
    </xf>
    <xf numFmtId="0" fontId="22" fillId="8" borderId="21" xfId="0" applyFont="1" applyFill="1" applyBorder="1" applyAlignment="1">
      <alignment horizontal="center"/>
    </xf>
    <xf numFmtId="0" fontId="22" fillId="8" borderId="9" xfId="0" applyFont="1" applyFill="1" applyBorder="1" applyAlignment="1">
      <alignment horizontal="center"/>
    </xf>
    <xf numFmtId="0" fontId="22" fillId="8" borderId="22" xfId="0" applyFont="1" applyFill="1" applyBorder="1" applyAlignment="1">
      <alignment horizontal="center"/>
    </xf>
    <xf numFmtId="0" fontId="22" fillId="5" borderId="21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2" fillId="9" borderId="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9" fillId="9" borderId="0" xfId="0" applyNumberFormat="1" applyFont="1" applyFill="1" applyAlignment="1">
      <alignment horizontal="center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9" borderId="0" xfId="0" applyFont="1" applyFill="1" applyAlignment="1">
      <alignment horizontal="left" vertical="center" wrapText="1"/>
    </xf>
    <xf numFmtId="0" fontId="0" fillId="9" borderId="5" xfId="0" applyFill="1" applyBorder="1" applyAlignment="1">
      <alignment horizontal="left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Custo</a:t>
            </a:r>
            <a:r>
              <a:rPr lang="en-US" baseline="0"/>
              <a:t> Efetivo por MWh 2028-2053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'Custo Efetivo'!$A$2:$A$5</c:f>
              <c:strCache>
                <c:ptCount val="4"/>
                <c:pt idx="0">
                  <c:v>Não Renovável</c:v>
                </c:pt>
                <c:pt idx="1">
                  <c:v>Preço PPA</c:v>
                </c:pt>
                <c:pt idx="2">
                  <c:v>"Grid-Following"</c:v>
                </c:pt>
                <c:pt idx="3">
                  <c:v>"Grid-Forming"</c:v>
                </c:pt>
              </c:strCache>
            </c:strRef>
          </c:cat>
          <c:val>
            <c:numRef>
              <c:f>'Custo Efetivo'!$B$2:$B$5</c:f>
              <c:numCache>
                <c:formatCode>_(* #,##0.00_);_(* \(#,##0.00\);_(* "-"??_);_(@_)</c:formatCode>
                <c:ptCount val="4"/>
                <c:pt idx="0">
                  <c:v>181.2658182880418</c:v>
                </c:pt>
                <c:pt idx="1">
                  <c:v>148.5</c:v>
                </c:pt>
                <c:pt idx="2">
                  <c:v>115.09050014263212</c:v>
                </c:pt>
                <c:pt idx="3">
                  <c:v>93.971727519113259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5-4B14-B91A-555CD1781F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6132704"/>
        <c:axId val="13361331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'Custo Efetivo'!$B$2:$B$5</c15:sqref>
                        </c15:formulaRef>
                      </c:ext>
                    </c:extLst>
                    <c:strCache>
                      <c:ptCount val="4"/>
                      <c:pt idx="0">
                        <c:v> 181,27 </c:v>
                      </c:pt>
                      <c:pt idx="1">
                        <c:v> 148,50 </c:v>
                      </c:pt>
                      <c:pt idx="2">
                        <c:v> 115,09 </c:v>
                      </c:pt>
                      <c:pt idx="3">
                        <c:v> 93,97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4-99C5-4B14-B91A-555CD1781F18}"/>
                  </c:ext>
                </c:extLst>
              </c15:ser>
            </c15:filteredBarSeries>
          </c:ext>
        </c:extLst>
      </c:barChart>
      <c:catAx>
        <c:axId val="133613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133184"/>
        <c:crosses val="autoZero"/>
        <c:auto val="1"/>
        <c:lblAlgn val="ctr"/>
        <c:lblOffset val="100"/>
        <c:noMultiLvlLbl val="0"/>
      </c:catAx>
      <c:valAx>
        <c:axId val="13361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13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90487</xdr:rowOff>
    </xdr:from>
    <xdr:to>
      <xdr:col>13</xdr:col>
      <xdr:colOff>38100</xdr:colOff>
      <xdr:row>17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EED5A7-289C-ACB6-B276-30993D329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crotrends.net/2480/brent-crude-oil-prices-10-year-daily-chart" TargetMode="External"/><Relationship Id="rId2" Type="http://schemas.openxmlformats.org/officeDocument/2006/relationships/hyperlink" Target="https://www.eia.gov/outlooks/ieo/data/pdf/P_P1_hm_230821.151836.pdf" TargetMode="External"/><Relationship Id="rId1" Type="http://schemas.openxmlformats.org/officeDocument/2006/relationships/hyperlink" Target="https://www.thebalancemoney.com/oil-price-forecast-3306219" TargetMode="External"/><Relationship Id="rId6" Type="http://schemas.openxmlformats.org/officeDocument/2006/relationships/hyperlink" Target="https://coinpriceforecast.com/oil" TargetMode="External"/><Relationship Id="rId5" Type="http://schemas.openxmlformats.org/officeDocument/2006/relationships/hyperlink" Target="https://www2.deloitte.com/content/dam/Deloitte/ca/Documents/energy-resources/ca-en-energy-resources-industrials-o-g-price-forecast-report-Q1-aoda.pdf" TargetMode="External"/><Relationship Id="rId4" Type="http://schemas.openxmlformats.org/officeDocument/2006/relationships/hyperlink" Target="https://www.google.com/search?q=average+brent+crude+oil+price+2022&amp;oq=average+brent+crude+oil+price+2022&amp;gs_lcrp=EgZjaHJvbWUyBggAEEUYOTIICAEQABgWGB4yCAgCEAAYFhgeMg0IAxAAGIYDGIAEGIoFMg0IBBAAGIYDGIAEGIoFMgoIBRAAGKIEGIkFMgoIBhAAGKIEGIkF0gEINTc1OWoxajSoAgCwAgE&amp;sourceid=chrome&amp;ie=UTF-8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regional_policy/sources/guides/vademecum_2127/vademecum_2127_en.pdf" TargetMode="External"/><Relationship Id="rId2" Type="http://schemas.openxmlformats.org/officeDocument/2006/relationships/hyperlink" Target="https://about.bnef.com/blog/eu-ets-market-outlook-1h-2024-prices-valley-before-rally/" TargetMode="External"/><Relationship Id="rId1" Type="http://schemas.openxmlformats.org/officeDocument/2006/relationships/hyperlink" Target="https://www.enerdata.net/publications/executive-briefing/carbon-price-projections-eu-ets.html" TargetMode="External"/><Relationship Id="rId6" Type="http://schemas.openxmlformats.org/officeDocument/2006/relationships/hyperlink" Target="https://www.spglobal.com/esg/insights/featured/special-editorial/eu-carbon-border-adjustment-mechanism-to-raise-80b-per-year-by-2040" TargetMode="External"/><Relationship Id="rId5" Type="http://schemas.openxmlformats.org/officeDocument/2006/relationships/hyperlink" Target="https://www.eda.pt/Regulacao/Rotulagem/Paginas/Resultados.aspx" TargetMode="External"/><Relationship Id="rId4" Type="http://schemas.openxmlformats.org/officeDocument/2006/relationships/hyperlink" Target="https://assets.publishing.service.gov.uk/media/5a756347ed915d6faf2b297a/1_20100120165619_e____carbonvaluesbeyond2050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FC5C-588D-43F3-BEF9-E4A828A23952}">
  <dimension ref="A1:AM161"/>
  <sheetViews>
    <sheetView tabSelected="1" zoomScale="130" zoomScaleNormal="130" workbookViewId="0"/>
  </sheetViews>
  <sheetFormatPr defaultRowHeight="15" x14ac:dyDescent="0.25"/>
  <cols>
    <col min="1" max="1" width="49.7109375" customWidth="1"/>
    <col min="2" max="2" width="6.7109375" customWidth="1"/>
    <col min="3" max="3" width="10" bestFit="1" customWidth="1"/>
    <col min="4" max="4" width="10.140625" customWidth="1"/>
    <col min="5" max="5" width="8.5703125" bestFit="1" customWidth="1"/>
    <col min="6" max="6" width="9" bestFit="1" customWidth="1"/>
    <col min="7" max="7" width="8.5703125" bestFit="1" customWidth="1"/>
    <col min="8" max="8" width="9.7109375" customWidth="1"/>
    <col min="9" max="9" width="10" bestFit="1" customWidth="1"/>
    <col min="11" max="11" width="14.42578125" bestFit="1" customWidth="1"/>
    <col min="12" max="15" width="9.5703125" bestFit="1" customWidth="1"/>
    <col min="16" max="16" width="9.28515625" bestFit="1" customWidth="1"/>
  </cols>
  <sheetData>
    <row r="1" spans="1:10" x14ac:dyDescent="0.25">
      <c r="A1" s="129" t="s">
        <v>235</v>
      </c>
      <c r="B1" s="129"/>
      <c r="C1" s="130" t="s">
        <v>0</v>
      </c>
      <c r="D1" s="130" t="s">
        <v>1</v>
      </c>
      <c r="E1" s="130" t="s">
        <v>2</v>
      </c>
      <c r="F1" s="130" t="s">
        <v>3</v>
      </c>
      <c r="G1" s="130" t="s">
        <v>4</v>
      </c>
      <c r="H1" s="130" t="s">
        <v>5</v>
      </c>
      <c r="I1" s="130" t="s">
        <v>6</v>
      </c>
      <c r="J1" s="130"/>
    </row>
    <row r="2" spans="1:10" x14ac:dyDescent="0.25">
      <c r="A2" s="121"/>
      <c r="B2" s="137"/>
      <c r="C2" s="138"/>
      <c r="D2" s="138"/>
      <c r="E2" s="138"/>
      <c r="F2" s="138"/>
      <c r="G2" s="138"/>
      <c r="H2" s="138"/>
      <c r="I2" s="138"/>
      <c r="J2" s="130"/>
    </row>
    <row r="3" spans="1:10" x14ac:dyDescent="0.25">
      <c r="A3" s="129" t="s">
        <v>7</v>
      </c>
      <c r="B3" s="129"/>
      <c r="C3" s="130"/>
      <c r="D3" s="130"/>
      <c r="E3" s="130"/>
      <c r="F3" s="130"/>
      <c r="G3" s="130"/>
      <c r="H3" s="130"/>
      <c r="I3" s="130"/>
      <c r="J3" s="192"/>
    </row>
    <row r="4" spans="1:10" x14ac:dyDescent="0.25">
      <c r="A4" s="120"/>
      <c r="B4" s="131"/>
      <c r="C4" s="132"/>
      <c r="D4" s="132"/>
      <c r="E4" s="132"/>
      <c r="F4" s="132"/>
      <c r="G4" s="132"/>
      <c r="H4" s="132"/>
      <c r="I4" s="132"/>
      <c r="J4" s="192"/>
    </row>
    <row r="5" spans="1:10" x14ac:dyDescent="0.25">
      <c r="A5" s="96" t="s">
        <v>8</v>
      </c>
      <c r="B5" s="133" t="s">
        <v>9</v>
      </c>
      <c r="C5" s="134">
        <v>478.29</v>
      </c>
      <c r="D5" s="134">
        <v>201.75</v>
      </c>
      <c r="E5" s="134">
        <v>51.27</v>
      </c>
      <c r="F5" s="134">
        <v>49.87</v>
      </c>
      <c r="G5" s="134">
        <v>29.88</v>
      </c>
      <c r="H5" s="134">
        <v>22.47</v>
      </c>
      <c r="I5" s="135">
        <f>SUM(C5:H5)</f>
        <v>833.53</v>
      </c>
      <c r="J5" s="192"/>
    </row>
    <row r="6" spans="1:10" x14ac:dyDescent="0.25">
      <c r="A6" s="96" t="s">
        <v>10</v>
      </c>
      <c r="B6" s="133" t="s">
        <v>9</v>
      </c>
      <c r="C6" s="136">
        <v>271.73500000000001</v>
      </c>
      <c r="D6" s="136">
        <v>151.47499999999999</v>
      </c>
      <c r="E6" s="136">
        <v>48.255000000000003</v>
      </c>
      <c r="F6" s="136">
        <v>47.937800000000003</v>
      </c>
      <c r="G6" s="136">
        <v>29.397400000000001</v>
      </c>
      <c r="H6" s="136">
        <v>22.117999999999999</v>
      </c>
      <c r="I6" s="135">
        <f>SUM(C6:H6)</f>
        <v>570.91820000000007</v>
      </c>
      <c r="J6" s="192"/>
    </row>
    <row r="7" spans="1:10" x14ac:dyDescent="0.25">
      <c r="A7" s="96" t="s">
        <v>11</v>
      </c>
      <c r="B7" s="133" t="s">
        <v>9</v>
      </c>
      <c r="C7" s="136">
        <f>'Custos EDA - Todas as Fontes'!B19</f>
        <v>151</v>
      </c>
      <c r="D7" s="136">
        <f>'Custos EDA - Todas as Fontes'!B20</f>
        <v>97</v>
      </c>
      <c r="E7" s="136">
        <f>'Custos EDA - Todas as Fontes'!B21</f>
        <v>48</v>
      </c>
      <c r="F7" s="136">
        <f>'Custos EDA - Todas as Fontes'!B22</f>
        <v>49.2</v>
      </c>
      <c r="G7" s="136">
        <f>'Custos EDA - Todas as Fontes'!B23</f>
        <v>25</v>
      </c>
      <c r="H7" s="136">
        <f>'Custos EDA - Todas as Fontes'!B24</f>
        <v>17.7</v>
      </c>
      <c r="I7" s="135">
        <f>SUM(C7:H7)</f>
        <v>387.9</v>
      </c>
      <c r="J7" s="192"/>
    </row>
    <row r="8" spans="1:10" x14ac:dyDescent="0.25">
      <c r="A8" s="96" t="s">
        <v>12</v>
      </c>
      <c r="B8" s="133" t="s">
        <v>13</v>
      </c>
      <c r="C8" s="136">
        <f>'Custos EDA-Fueloil e Gasoleo'!K25/1000000</f>
        <v>47.088344999999997</v>
      </c>
      <c r="D8" s="136">
        <f>'Custos EDA-Fueloil e Gasoleo'!K26/1000000</f>
        <v>31.720550999999997</v>
      </c>
      <c r="E8" s="136">
        <f>'Custos EDA-Fueloil e Gasoleo'!K27/1000000</f>
        <v>10.945532</v>
      </c>
      <c r="F8" s="136">
        <f>'Custos EDA-Fueloil e Gasoleo'!K28/1000000</f>
        <v>10.983394000000001</v>
      </c>
      <c r="G8" s="136">
        <f>'Custos EDA-Fueloil e Gasoleo'!K29/1000000</f>
        <v>10.350440000000003</v>
      </c>
      <c r="H8" s="136">
        <f>'Custos EDA-Fueloil e Gasoleo'!K30/1000000</f>
        <v>8.3544680000000007</v>
      </c>
      <c r="I8" s="135">
        <f>SUM(C8:H8)</f>
        <v>119.44273</v>
      </c>
      <c r="J8" s="192"/>
    </row>
    <row r="9" spans="1:10" x14ac:dyDescent="0.25">
      <c r="A9" s="96" t="s">
        <v>12</v>
      </c>
      <c r="B9" s="137" t="s">
        <v>14</v>
      </c>
      <c r="C9" s="138">
        <f t="shared" ref="C9:I9" si="0">(C8*1000000)/(C6*1000)</f>
        <v>173.28774357370233</v>
      </c>
      <c r="D9" s="138">
        <f t="shared" si="0"/>
        <v>209.41113054959561</v>
      </c>
      <c r="E9" s="138">
        <f t="shared" si="0"/>
        <v>226.82689876696716</v>
      </c>
      <c r="F9" s="138">
        <f t="shared" si="0"/>
        <v>229.11760656517401</v>
      </c>
      <c r="G9" s="138">
        <f t="shared" si="0"/>
        <v>352.08691925136242</v>
      </c>
      <c r="H9" s="138">
        <f t="shared" si="0"/>
        <v>377.72257889501765</v>
      </c>
      <c r="I9" s="139">
        <f t="shared" si="0"/>
        <v>209.21163487168562</v>
      </c>
      <c r="J9" s="192"/>
    </row>
    <row r="10" spans="1:10" x14ac:dyDescent="0.25">
      <c r="A10" s="120" t="s">
        <v>15</v>
      </c>
      <c r="B10" s="140" t="s">
        <v>14</v>
      </c>
      <c r="C10" s="139">
        <f>'Custos EDA-Fueloil e Gasoleo'!N37</f>
        <v>196.7155253535278</v>
      </c>
      <c r="D10" s="139">
        <f>'Custos EDA-Fueloil e Gasoleo'!N38</f>
        <v>204.19344801516141</v>
      </c>
      <c r="E10" s="139">
        <f>'Custos EDA-Fueloil e Gasoleo'!N39</f>
        <v>224.85099901145892</v>
      </c>
      <c r="F10" s="139">
        <f>'Custos EDA-Fueloil e Gasoleo'!N40</f>
        <v>221.54851664036232</v>
      </c>
      <c r="G10" s="139">
        <f>'Custos EDA-Fueloil e Gasoleo'!N41</f>
        <v>364.45631963810911</v>
      </c>
      <c r="H10" s="139">
        <f>'Custos EDA-Fueloil e Gasoleo'!N42</f>
        <v>365.91542613312902</v>
      </c>
      <c r="I10" s="139">
        <f>'Custos EDA-Fueloil e Gasoleo'!N43</f>
        <v>225.1625402304654</v>
      </c>
      <c r="J10" s="192"/>
    </row>
    <row r="11" spans="1:10" x14ac:dyDescent="0.25">
      <c r="A11" s="121"/>
      <c r="B11" s="137"/>
      <c r="C11" s="138"/>
      <c r="D11" s="138"/>
      <c r="E11" s="138"/>
      <c r="F11" s="138"/>
      <c r="G11" s="138"/>
      <c r="H11" s="138"/>
      <c r="I11" s="138"/>
      <c r="J11" s="192"/>
    </row>
    <row r="12" spans="1:10" x14ac:dyDescent="0.25">
      <c r="A12" s="129" t="s">
        <v>16</v>
      </c>
      <c r="B12" s="141"/>
      <c r="C12" s="130" t="s">
        <v>0</v>
      </c>
      <c r="D12" s="130" t="s">
        <v>1</v>
      </c>
      <c r="E12" s="130" t="s">
        <v>2</v>
      </c>
      <c r="F12" s="130" t="s">
        <v>3</v>
      </c>
      <c r="G12" s="130" t="s">
        <v>4</v>
      </c>
      <c r="H12" s="130" t="s">
        <v>5</v>
      </c>
      <c r="I12" s="130" t="s">
        <v>6</v>
      </c>
      <c r="J12" s="192"/>
    </row>
    <row r="13" spans="1:10" x14ac:dyDescent="0.25">
      <c r="A13" s="120"/>
      <c r="B13" s="140"/>
      <c r="C13" s="139"/>
      <c r="D13" s="139"/>
      <c r="E13" s="139"/>
      <c r="F13" s="139"/>
      <c r="G13" s="139"/>
      <c r="H13" s="139"/>
      <c r="I13" s="139"/>
      <c r="J13" s="192"/>
    </row>
    <row r="14" spans="1:10" x14ac:dyDescent="0.25">
      <c r="A14" s="142" t="s">
        <v>17</v>
      </c>
      <c r="B14" s="140"/>
      <c r="C14" s="139"/>
      <c r="D14" s="139"/>
      <c r="E14" s="139"/>
      <c r="F14" s="139"/>
      <c r="G14" s="139"/>
      <c r="H14" s="139"/>
      <c r="I14" s="139"/>
      <c r="J14" s="192"/>
    </row>
    <row r="15" spans="1:10" x14ac:dyDescent="0.25">
      <c r="A15" s="96" t="s">
        <v>18</v>
      </c>
      <c r="B15" s="137" t="s">
        <v>14</v>
      </c>
      <c r="C15" s="138">
        <f>'Preço PPA'!D3</f>
        <v>168.94045710771474</v>
      </c>
      <c r="D15" s="138">
        <f>'Preço PPA'!D4</f>
        <v>170.49562001650503</v>
      </c>
      <c r="E15" s="138">
        <f>'Preço PPA'!D5</f>
        <v>191.57118775643207</v>
      </c>
      <c r="F15" s="138">
        <f>'Preço PPA'!D6</f>
        <v>196.3237656056954</v>
      </c>
      <c r="G15" s="138">
        <f>'Preço PPA'!D7</f>
        <v>238.48734238881974</v>
      </c>
      <c r="H15" s="138">
        <f>'Preço PPA'!D8</f>
        <v>244.75775923706246</v>
      </c>
      <c r="I15" s="138">
        <f>'Preço PPA'!D9</f>
        <v>183.97744541541039</v>
      </c>
      <c r="J15" s="193"/>
    </row>
    <row r="16" spans="1:10" x14ac:dyDescent="0.25">
      <c r="A16" s="96" t="s">
        <v>19</v>
      </c>
      <c r="B16" s="133" t="s">
        <v>9</v>
      </c>
      <c r="C16" s="138">
        <v>779.70799999999997</v>
      </c>
      <c r="D16" s="138">
        <v>406.06700000000001</v>
      </c>
      <c r="E16" s="138">
        <v>290.738</v>
      </c>
      <c r="F16" s="138">
        <v>268.94400000000002</v>
      </c>
      <c r="G16" s="138">
        <v>120.51300000000001</v>
      </c>
      <c r="H16" s="138">
        <v>68.691999999999993</v>
      </c>
      <c r="I16" s="138">
        <v>1934.662</v>
      </c>
      <c r="J16" s="192"/>
    </row>
    <row r="17" spans="1:39" x14ac:dyDescent="0.25">
      <c r="A17" s="96" t="s">
        <v>20</v>
      </c>
      <c r="B17" s="133" t="s">
        <v>13</v>
      </c>
      <c r="C17" s="136">
        <f>56.314+50.687</f>
        <v>107.001</v>
      </c>
      <c r="D17" s="138">
        <v>54.21</v>
      </c>
      <c r="E17" s="136">
        <f t="shared" ref="E17:H17" si="1">E16*1000*E$15/1000000</f>
        <v>55.697023985929548</v>
      </c>
      <c r="F17" s="136">
        <f t="shared" si="1"/>
        <v>52.800098817058149</v>
      </c>
      <c r="G17" s="136">
        <f t="shared" si="1"/>
        <v>28.740825093303833</v>
      </c>
      <c r="H17" s="136">
        <f t="shared" si="1"/>
        <v>16.812899997512297</v>
      </c>
      <c r="I17" s="138">
        <f t="shared" ref="I17:I23" si="2">SUM(C17:H17)</f>
        <v>315.26184789380386</v>
      </c>
      <c r="J17" s="192"/>
    </row>
    <row r="18" spans="1:39" x14ac:dyDescent="0.25">
      <c r="A18" s="96" t="s">
        <v>21</v>
      </c>
      <c r="B18" s="133" t="s">
        <v>9</v>
      </c>
      <c r="C18" s="138">
        <v>3.7060000000000004</v>
      </c>
      <c r="D18" s="138">
        <v>10.506</v>
      </c>
      <c r="E18" s="138">
        <v>27.387</v>
      </c>
      <c r="F18" s="138">
        <v>26.24</v>
      </c>
      <c r="G18" s="138">
        <v>11.996</v>
      </c>
      <c r="H18" s="138">
        <v>7.883</v>
      </c>
      <c r="I18" s="138">
        <f t="shared" si="2"/>
        <v>87.717999999999989</v>
      </c>
      <c r="J18" s="194"/>
    </row>
    <row r="19" spans="1:39" x14ac:dyDescent="0.25">
      <c r="A19" s="96" t="s">
        <v>22</v>
      </c>
      <c r="B19" s="133" t="s">
        <v>9</v>
      </c>
      <c r="C19" s="138">
        <f>0.144*C18*-1</f>
        <v>-0.53366400000000003</v>
      </c>
      <c r="D19" s="138">
        <f t="shared" ref="D19:H19" si="3">0.144*D18*-1</f>
        <v>-1.512864</v>
      </c>
      <c r="E19" s="138">
        <f t="shared" si="3"/>
        <v>-3.9437279999999997</v>
      </c>
      <c r="F19" s="138">
        <f t="shared" si="3"/>
        <v>-3.7785599999999997</v>
      </c>
      <c r="G19" s="138">
        <f t="shared" si="3"/>
        <v>-1.7274239999999998</v>
      </c>
      <c r="H19" s="138">
        <f t="shared" si="3"/>
        <v>-1.1351519999999999</v>
      </c>
      <c r="I19" s="138">
        <f t="shared" si="2"/>
        <v>-12.631391999999998</v>
      </c>
      <c r="J19" s="194"/>
      <c r="K19" s="126"/>
    </row>
    <row r="20" spans="1:39" x14ac:dyDescent="0.25">
      <c r="A20" s="96" t="s">
        <v>23</v>
      </c>
      <c r="B20" s="133" t="s">
        <v>9</v>
      </c>
      <c r="C20" s="138">
        <f>C18+C19</f>
        <v>3.1723360000000005</v>
      </c>
      <c r="D20" s="138">
        <f t="shared" ref="D20:H20" si="4">D18+D19</f>
        <v>8.9931359999999998</v>
      </c>
      <c r="E20" s="138">
        <f t="shared" si="4"/>
        <v>23.443272</v>
      </c>
      <c r="F20" s="138">
        <f t="shared" si="4"/>
        <v>22.46144</v>
      </c>
      <c r="G20" s="138">
        <f t="shared" si="4"/>
        <v>10.268576000000001</v>
      </c>
      <c r="H20" s="138">
        <f t="shared" si="4"/>
        <v>6.7478480000000003</v>
      </c>
      <c r="I20" s="138">
        <f t="shared" si="2"/>
        <v>75.086607999999998</v>
      </c>
      <c r="J20" s="192"/>
    </row>
    <row r="21" spans="1:39" x14ac:dyDescent="0.25">
      <c r="A21" s="96" t="s">
        <v>24</v>
      </c>
      <c r="B21" s="133" t="s">
        <v>13</v>
      </c>
      <c r="C21" s="151">
        <f>C20*C15*1000/1000000</f>
        <v>0.53593589393925933</v>
      </c>
      <c r="D21" s="151">
        <f>D20*D15*1000/1000000</f>
        <v>1.5332902982127516</v>
      </c>
      <c r="E21" s="151">
        <f t="shared" ref="E21:H21" si="5">E20*E15*1000/1000000</f>
        <v>4.4910554619371075</v>
      </c>
      <c r="F21" s="151">
        <f t="shared" si="5"/>
        <v>4.4097144817263905</v>
      </c>
      <c r="G21" s="151">
        <f t="shared" si="5"/>
        <v>2.4489254003576177</v>
      </c>
      <c r="H21" s="151">
        <f t="shared" si="5"/>
        <v>1.6515881561522936</v>
      </c>
      <c r="I21" s="138">
        <f t="shared" si="2"/>
        <v>15.070509692325421</v>
      </c>
      <c r="J21" s="192"/>
      <c r="K21">
        <f>0.7*3.75</f>
        <v>2.625</v>
      </c>
    </row>
    <row r="22" spans="1:39" x14ac:dyDescent="0.25">
      <c r="A22" s="405" t="s">
        <v>25</v>
      </c>
      <c r="B22" s="199" t="s">
        <v>9</v>
      </c>
      <c r="C22" s="229">
        <f>C16+C20</f>
        <v>782.88033599999994</v>
      </c>
      <c r="D22" s="229">
        <f t="shared" ref="D22:H23" si="6">D16+D20</f>
        <v>415.060136</v>
      </c>
      <c r="E22" s="229">
        <f t="shared" si="6"/>
        <v>314.18127199999998</v>
      </c>
      <c r="F22" s="229">
        <f t="shared" si="6"/>
        <v>291.40544</v>
      </c>
      <c r="G22" s="229">
        <f t="shared" si="6"/>
        <v>130.781576</v>
      </c>
      <c r="H22" s="229">
        <f t="shared" si="6"/>
        <v>75.439847999999998</v>
      </c>
      <c r="I22" s="230">
        <f t="shared" si="2"/>
        <v>2009.7486080000001</v>
      </c>
      <c r="J22" s="192"/>
    </row>
    <row r="23" spans="1:39" x14ac:dyDescent="0.25">
      <c r="A23" s="405"/>
      <c r="B23" s="133" t="s">
        <v>13</v>
      </c>
      <c r="C23" s="201">
        <f>C17+C21</f>
        <v>107.53693589393926</v>
      </c>
      <c r="D23" s="201">
        <f t="shared" si="6"/>
        <v>55.743290298212756</v>
      </c>
      <c r="E23" s="201">
        <f t="shared" si="6"/>
        <v>60.188079447866656</v>
      </c>
      <c r="F23" s="201">
        <f t="shared" si="6"/>
        <v>57.209813298784539</v>
      </c>
      <c r="G23" s="201">
        <f t="shared" si="6"/>
        <v>31.18975049366145</v>
      </c>
      <c r="H23" s="201">
        <f t="shared" si="6"/>
        <v>18.46448815366459</v>
      </c>
      <c r="I23" s="231">
        <f t="shared" si="2"/>
        <v>330.33235758612926</v>
      </c>
      <c r="J23" s="192"/>
    </row>
    <row r="24" spans="1:39" x14ac:dyDescent="0.25">
      <c r="A24" s="96"/>
      <c r="B24" s="133"/>
      <c r="C24" s="178"/>
      <c r="D24" s="178"/>
      <c r="E24" s="178"/>
      <c r="F24" s="178"/>
      <c r="G24" s="178"/>
      <c r="H24" s="178"/>
      <c r="I24" s="221"/>
      <c r="J24" s="192"/>
    </row>
    <row r="25" spans="1:39" x14ac:dyDescent="0.25">
      <c r="A25" s="225" t="s">
        <v>26</v>
      </c>
      <c r="B25" s="226"/>
      <c r="C25" s="227" t="s">
        <v>0</v>
      </c>
      <c r="D25" s="227" t="s">
        <v>1</v>
      </c>
      <c r="E25" s="227" t="s">
        <v>2</v>
      </c>
      <c r="F25" s="227" t="s">
        <v>3</v>
      </c>
      <c r="G25" s="227" t="s">
        <v>4</v>
      </c>
      <c r="H25" s="227" t="s">
        <v>5</v>
      </c>
      <c r="I25" s="228" t="s">
        <v>6</v>
      </c>
      <c r="J25" s="192"/>
    </row>
    <row r="26" spans="1:39" x14ac:dyDescent="0.25">
      <c r="A26" s="150" t="s">
        <v>27</v>
      </c>
      <c r="B26" s="133"/>
      <c r="C26" s="213">
        <v>0.35</v>
      </c>
      <c r="D26" s="213">
        <v>0.35</v>
      </c>
      <c r="E26" s="213">
        <v>0.35</v>
      </c>
      <c r="F26" s="213">
        <v>0.35</v>
      </c>
      <c r="G26" s="213">
        <v>0.35</v>
      </c>
      <c r="H26" s="213">
        <v>0.35</v>
      </c>
      <c r="I26" s="213">
        <v>0.35</v>
      </c>
      <c r="J26" s="192"/>
    </row>
    <row r="27" spans="1:39" x14ac:dyDescent="0.25">
      <c r="A27" s="150" t="s">
        <v>28</v>
      </c>
      <c r="B27" s="133" t="s">
        <v>29</v>
      </c>
      <c r="C27" s="151">
        <v>12.7</v>
      </c>
      <c r="D27" s="151">
        <v>17.7</v>
      </c>
      <c r="E27" s="151">
        <v>6.9</v>
      </c>
      <c r="F27" s="151">
        <v>5.7</v>
      </c>
      <c r="G27" s="151">
        <v>4.5</v>
      </c>
      <c r="H27" s="151">
        <v>2.7</v>
      </c>
      <c r="I27" s="154">
        <f t="shared" ref="I27:I30" si="7">SUM(C27:H27)</f>
        <v>50.2</v>
      </c>
      <c r="J27" s="194"/>
      <c r="K27" s="30"/>
      <c r="L27" s="30"/>
      <c r="M27" s="30"/>
      <c r="N27" s="30"/>
      <c r="O27" s="30"/>
      <c r="P27" s="30"/>
      <c r="Q27" s="30"/>
    </row>
    <row r="28" spans="1:39" x14ac:dyDescent="0.25">
      <c r="A28" s="150" t="s">
        <v>30</v>
      </c>
      <c r="B28" s="211" t="s">
        <v>9</v>
      </c>
      <c r="C28" s="200">
        <f t="shared" ref="C28:H28" si="8">C26*C27*8760/1000*25</f>
        <v>973.45499999999993</v>
      </c>
      <c r="D28" s="200">
        <f t="shared" si="8"/>
        <v>1356.7049999999999</v>
      </c>
      <c r="E28" s="200">
        <f t="shared" si="8"/>
        <v>528.88499999999999</v>
      </c>
      <c r="F28" s="200">
        <f t="shared" si="8"/>
        <v>436.90500000000003</v>
      </c>
      <c r="G28" s="200">
        <f t="shared" si="8"/>
        <v>344.92500000000001</v>
      </c>
      <c r="H28" s="200">
        <f t="shared" si="8"/>
        <v>206.95499999999996</v>
      </c>
      <c r="I28" s="212">
        <f t="shared" si="7"/>
        <v>3847.8300000000004</v>
      </c>
      <c r="J28" s="192"/>
      <c r="K28" s="30"/>
      <c r="L28" s="30"/>
      <c r="M28" s="30"/>
      <c r="N28" s="30"/>
      <c r="O28" s="30"/>
      <c r="P28" s="30"/>
    </row>
    <row r="29" spans="1:39" x14ac:dyDescent="0.25">
      <c r="A29" s="96" t="s">
        <v>31</v>
      </c>
      <c r="B29" s="133" t="s">
        <v>32</v>
      </c>
      <c r="C29" s="177">
        <v>0.66669999999999996</v>
      </c>
      <c r="D29" s="177">
        <v>0.75</v>
      </c>
      <c r="E29" s="177">
        <v>0.66659999999999997</v>
      </c>
      <c r="F29" s="177">
        <v>0.66659999999999997</v>
      </c>
      <c r="G29" s="177">
        <v>0.66659999999999997</v>
      </c>
      <c r="H29" s="177">
        <v>0.66659999999999997</v>
      </c>
      <c r="I29" s="177">
        <v>0.82499999999999996</v>
      </c>
      <c r="J29" s="195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</row>
    <row r="30" spans="1:39" x14ac:dyDescent="0.25">
      <c r="A30" s="96" t="s">
        <v>33</v>
      </c>
      <c r="B30" s="133" t="s">
        <v>9</v>
      </c>
      <c r="C30" s="136">
        <f>C28*(1-C29)</f>
        <v>324.45255150000003</v>
      </c>
      <c r="D30" s="136">
        <f t="shared" ref="D30:H30" si="9">D28*(1-D29)</f>
        <v>339.17624999999998</v>
      </c>
      <c r="E30" s="136">
        <f t="shared" si="9"/>
        <v>176.33025900000001</v>
      </c>
      <c r="F30" s="136">
        <f t="shared" si="9"/>
        <v>145.66412700000004</v>
      </c>
      <c r="G30" s="136">
        <f t="shared" si="9"/>
        <v>114.99799500000002</v>
      </c>
      <c r="H30" s="136">
        <f t="shared" si="9"/>
        <v>68.998796999999996</v>
      </c>
      <c r="I30" s="135">
        <f t="shared" si="7"/>
        <v>1169.6199795</v>
      </c>
      <c r="J30" s="194"/>
      <c r="K30" s="126"/>
      <c r="L30" s="126"/>
      <c r="M30" s="126"/>
      <c r="N30" s="126"/>
      <c r="O30" s="126"/>
      <c r="P30" s="126"/>
      <c r="Q30" s="126"/>
    </row>
    <row r="31" spans="1:39" x14ac:dyDescent="0.25">
      <c r="A31" s="96" t="s">
        <v>34</v>
      </c>
      <c r="B31" s="133"/>
      <c r="C31" s="144">
        <v>0.66600000000000004</v>
      </c>
      <c r="D31" s="144">
        <v>0.66600000000000004</v>
      </c>
      <c r="E31" s="144">
        <v>0.66600000000000004</v>
      </c>
      <c r="F31" s="144">
        <v>0.66600000000000004</v>
      </c>
      <c r="G31" s="144">
        <v>0.66600000000000004</v>
      </c>
      <c r="H31" s="144">
        <v>0.66600000000000004</v>
      </c>
      <c r="I31" s="145">
        <f>I32/I30</f>
        <v>0.66600000000000015</v>
      </c>
      <c r="J31" s="192"/>
      <c r="K31" s="31"/>
      <c r="L31" s="31"/>
      <c r="M31" s="31"/>
      <c r="N31" s="31"/>
      <c r="O31" s="31"/>
      <c r="P31" s="31"/>
    </row>
    <row r="32" spans="1:39" x14ac:dyDescent="0.25">
      <c r="A32" s="96" t="s">
        <v>35</v>
      </c>
      <c r="B32" s="133" t="s">
        <v>9</v>
      </c>
      <c r="C32" s="136">
        <f t="shared" ref="C32:H32" si="10">C30*C31</f>
        <v>216.08539929900002</v>
      </c>
      <c r="D32" s="136">
        <f t="shared" si="10"/>
        <v>225.89138249999999</v>
      </c>
      <c r="E32" s="136">
        <f t="shared" si="10"/>
        <v>117.43595249400002</v>
      </c>
      <c r="F32" s="136">
        <f t="shared" si="10"/>
        <v>97.012308582000031</v>
      </c>
      <c r="G32" s="136">
        <f t="shared" si="10"/>
        <v>76.588664670000014</v>
      </c>
      <c r="H32" s="136">
        <f t="shared" si="10"/>
        <v>45.953198802000003</v>
      </c>
      <c r="I32" s="135">
        <f t="shared" ref="I32:I47" si="11">SUM(C32:H32)</f>
        <v>778.96690634700019</v>
      </c>
      <c r="J32" s="192"/>
      <c r="K32" s="30"/>
    </row>
    <row r="33" spans="1:16" x14ac:dyDescent="0.25">
      <c r="A33" s="96" t="s">
        <v>36</v>
      </c>
      <c r="B33" s="133" t="s">
        <v>9</v>
      </c>
      <c r="C33" s="136">
        <f t="shared" ref="C33:H33" si="12">C30-C32</f>
        <v>108.36715220100001</v>
      </c>
      <c r="D33" s="136">
        <f t="shared" si="12"/>
        <v>113.28486749999999</v>
      </c>
      <c r="E33" s="136">
        <f t="shared" si="12"/>
        <v>58.894306505999992</v>
      </c>
      <c r="F33" s="136">
        <f t="shared" si="12"/>
        <v>48.651818418000005</v>
      </c>
      <c r="G33" s="136">
        <f t="shared" si="12"/>
        <v>38.409330330000003</v>
      </c>
      <c r="H33" s="136">
        <f t="shared" si="12"/>
        <v>23.045598197999993</v>
      </c>
      <c r="I33" s="135">
        <f t="shared" si="11"/>
        <v>390.65307315299998</v>
      </c>
      <c r="J33" s="192"/>
      <c r="K33" s="128"/>
      <c r="L33" s="30"/>
      <c r="M33" s="92"/>
      <c r="N33" s="30"/>
      <c r="O33" s="30"/>
      <c r="P33" s="30"/>
    </row>
    <row r="34" spans="1:16" x14ac:dyDescent="0.25">
      <c r="A34" s="96" t="s">
        <v>37</v>
      </c>
      <c r="B34" s="133" t="s">
        <v>38</v>
      </c>
      <c r="C34" s="138">
        <f>'Poupança 2028-2029'!C38</f>
        <v>2.6669999999999989</v>
      </c>
      <c r="D34" s="138">
        <f>'Poupança 2028-2029'!D38</f>
        <v>1.2377609999999999</v>
      </c>
      <c r="E34" s="138">
        <f>'Poupança 2028-2029'!E38</f>
        <v>1.2062925000000002</v>
      </c>
      <c r="F34" s="138">
        <f>'Poupança 2028-2029'!F38</f>
        <v>0.99650250000000018</v>
      </c>
      <c r="G34" s="138">
        <f>'Poupança 2028-2029'!G38</f>
        <v>0.78671250000000015</v>
      </c>
      <c r="H34" s="138">
        <f>'Poupança 2028-2029'!H38</f>
        <v>0.47202749999999988</v>
      </c>
      <c r="I34" s="139">
        <f t="shared" si="11"/>
        <v>7.3662959999999993</v>
      </c>
      <c r="J34" s="192"/>
      <c r="K34" s="92"/>
      <c r="L34" s="30"/>
      <c r="M34" s="30"/>
      <c r="N34" s="30"/>
      <c r="O34" s="30"/>
      <c r="P34" s="30"/>
    </row>
    <row r="35" spans="1:16" x14ac:dyDescent="0.25">
      <c r="A35" s="96"/>
      <c r="B35" s="133"/>
      <c r="C35" s="138"/>
      <c r="D35" s="138"/>
      <c r="E35" s="138"/>
      <c r="F35" s="138"/>
      <c r="G35" s="138"/>
      <c r="H35" s="138"/>
      <c r="I35" s="139"/>
      <c r="J35" s="192"/>
      <c r="K35" s="92"/>
      <c r="L35" s="30"/>
      <c r="M35" s="30"/>
      <c r="N35" s="30"/>
      <c r="O35" s="30"/>
      <c r="P35" s="30"/>
    </row>
    <row r="36" spans="1:16" x14ac:dyDescent="0.25">
      <c r="A36" s="96" t="s">
        <v>39</v>
      </c>
      <c r="B36" s="133" t="s">
        <v>38</v>
      </c>
      <c r="C36" s="138">
        <v>0.66059999999999997</v>
      </c>
      <c r="D36" s="138">
        <v>0.56779999999999997</v>
      </c>
      <c r="E36" s="138">
        <v>0.54559999999999997</v>
      </c>
      <c r="F36" s="138">
        <v>0.54</v>
      </c>
      <c r="G36" s="138">
        <v>0.34029999999999999</v>
      </c>
      <c r="H36" s="138">
        <v>0.1588</v>
      </c>
      <c r="I36" s="139">
        <f t="shared" si="11"/>
        <v>2.8130999999999999</v>
      </c>
      <c r="J36" s="192"/>
    </row>
    <row r="37" spans="1:16" x14ac:dyDescent="0.25">
      <c r="A37" s="96" t="s">
        <v>40</v>
      </c>
      <c r="B37" s="133" t="s">
        <v>9</v>
      </c>
      <c r="C37" s="138">
        <f>18.043/0.856</f>
        <v>21.078271028037381</v>
      </c>
      <c r="D37" s="138">
        <f>8.692/0.856</f>
        <v>10.154205607476635</v>
      </c>
      <c r="E37" s="138">
        <f>8.692/0.856</f>
        <v>10.154205607476635</v>
      </c>
      <c r="F37" s="138">
        <f>7.962/0.856</f>
        <v>9.3014018691588785</v>
      </c>
      <c r="G37" s="138">
        <f>4.236/0.856</f>
        <v>4.9485981308411215</v>
      </c>
      <c r="H37" s="138">
        <f>2.655/0.856</f>
        <v>3.1016355140186915</v>
      </c>
      <c r="I37" s="139">
        <f t="shared" si="11"/>
        <v>58.738317757009341</v>
      </c>
      <c r="J37" s="192"/>
      <c r="K37" s="127"/>
    </row>
    <row r="38" spans="1:16" x14ac:dyDescent="0.25">
      <c r="A38" s="96" t="s">
        <v>41</v>
      </c>
      <c r="B38" s="133" t="s">
        <v>9</v>
      </c>
      <c r="C38" s="138">
        <f>(C36*5*365/1000)*25+C37</f>
        <v>51.218146028037381</v>
      </c>
      <c r="D38" s="138">
        <f t="shared" ref="D38:H38" si="13">(D36*5*365/1000)*25+D37</f>
        <v>36.060080607476628</v>
      </c>
      <c r="E38" s="138">
        <f t="shared" si="13"/>
        <v>35.047205607476634</v>
      </c>
      <c r="F38" s="138">
        <f t="shared" si="13"/>
        <v>33.938901869158883</v>
      </c>
      <c r="G38" s="138">
        <f t="shared" si="13"/>
        <v>20.474785630841119</v>
      </c>
      <c r="H38" s="138">
        <f t="shared" si="13"/>
        <v>10.346885514018691</v>
      </c>
      <c r="I38" s="139">
        <f t="shared" si="11"/>
        <v>187.08600525700933</v>
      </c>
      <c r="J38" s="192"/>
    </row>
    <row r="39" spans="1:16" x14ac:dyDescent="0.25">
      <c r="A39" s="96" t="s">
        <v>42</v>
      </c>
      <c r="B39" s="137" t="s">
        <v>14</v>
      </c>
      <c r="C39" s="138">
        <f>'Poupança 2028-2029'!C42*(1.0175^12.5)</f>
        <v>122.35351608022377</v>
      </c>
      <c r="D39" s="138">
        <f>'Poupança 2028-2029'!D42*(1.0175^12.5)</f>
        <v>134.40254253685495</v>
      </c>
      <c r="E39" s="138">
        <f>'Poupança 2028-2029'!E42*(1.0175^12.5)</f>
        <v>134.40254253685495</v>
      </c>
      <c r="F39" s="138">
        <f>'Poupança 2028-2029'!F42*(1.0175^12.5)</f>
        <v>151.2960229296574</v>
      </c>
      <c r="G39" s="138">
        <f>'Poupança 2028-2029'!G42*(1.0175^12.5)</f>
        <v>151.2960229296574</v>
      </c>
      <c r="H39" s="138">
        <f>'Poupança 2028-2029'!H42*(1.0175^12.5)</f>
        <v>151.2960229296574</v>
      </c>
      <c r="I39" s="138"/>
      <c r="J39" s="192"/>
    </row>
    <row r="40" spans="1:16" x14ac:dyDescent="0.25">
      <c r="A40" s="96" t="s">
        <v>43</v>
      </c>
      <c r="B40" s="133" t="s">
        <v>13</v>
      </c>
      <c r="C40" s="138">
        <f>C38*C39/1000</f>
        <v>6.2667202536407212</v>
      </c>
      <c r="D40" s="138">
        <f t="shared" ref="D40:H40" si="14">D38*D39/1000</f>
        <v>4.846566517728796</v>
      </c>
      <c r="E40" s="138">
        <f t="shared" si="14"/>
        <v>4.71043354245678</v>
      </c>
      <c r="F40" s="138">
        <f t="shared" si="14"/>
        <v>5.1348208754036548</v>
      </c>
      <c r="G40" s="138">
        <f t="shared" si="14"/>
        <v>3.0977536362835578</v>
      </c>
      <c r="H40" s="138">
        <f t="shared" si="14"/>
        <v>1.5654426279795117</v>
      </c>
      <c r="I40" s="139">
        <f t="shared" si="11"/>
        <v>25.621737453493019</v>
      </c>
      <c r="J40" s="192"/>
    </row>
    <row r="41" spans="1:16" x14ac:dyDescent="0.25">
      <c r="A41" s="96" t="s">
        <v>44</v>
      </c>
      <c r="B41" s="133" t="s">
        <v>38</v>
      </c>
      <c r="C41" s="138">
        <f>'Poupança 2028-2029'!C45</f>
        <v>1.3334999999999995</v>
      </c>
      <c r="D41" s="138">
        <f>'Poupança 2028-2029'!D45</f>
        <v>0.31036949999999991</v>
      </c>
      <c r="E41" s="138">
        <f>'Poupança 2028-2029'!E45</f>
        <v>0.30247874999999996</v>
      </c>
      <c r="F41" s="138">
        <f>'Poupança 2028-2029'!F45</f>
        <v>0.24987375000000001</v>
      </c>
      <c r="G41" s="138">
        <f>'Poupança 2028-2029'!G45</f>
        <v>0.19726874999999996</v>
      </c>
      <c r="H41" s="138">
        <f>'Poupança 2028-2029'!H45</f>
        <v>0.11836124999999996</v>
      </c>
      <c r="I41" s="139">
        <f t="shared" si="11"/>
        <v>2.5118519999999993</v>
      </c>
      <c r="J41" s="192"/>
    </row>
    <row r="42" spans="1:16" x14ac:dyDescent="0.25">
      <c r="A42" s="96" t="s">
        <v>45</v>
      </c>
      <c r="B42" s="133" t="s">
        <v>38</v>
      </c>
      <c r="C42" s="138">
        <f t="shared" ref="C42:H42" si="15">C36/2</f>
        <v>0.33029999999999998</v>
      </c>
      <c r="D42" s="138">
        <f t="shared" si="15"/>
        <v>0.28389999999999999</v>
      </c>
      <c r="E42" s="138">
        <f t="shared" si="15"/>
        <v>0.27279999999999999</v>
      </c>
      <c r="F42" s="138">
        <f t="shared" si="15"/>
        <v>0.27</v>
      </c>
      <c r="G42" s="138">
        <f t="shared" si="15"/>
        <v>0.17015</v>
      </c>
      <c r="H42" s="138">
        <f t="shared" si="15"/>
        <v>7.9399999999999998E-2</v>
      </c>
      <c r="I42" s="139">
        <f t="shared" si="11"/>
        <v>1.40655</v>
      </c>
      <c r="J42" s="192"/>
    </row>
    <row r="43" spans="1:16" x14ac:dyDescent="0.25">
      <c r="A43" s="96" t="s">
        <v>40</v>
      </c>
      <c r="B43" s="133" t="s">
        <v>9</v>
      </c>
      <c r="C43" s="138">
        <v>18.042999999999999</v>
      </c>
      <c r="D43" s="138">
        <v>8.6920000000000002</v>
      </c>
      <c r="E43" s="138">
        <v>8.6920000000000002</v>
      </c>
      <c r="F43" s="138">
        <v>7.9619999999999997</v>
      </c>
      <c r="G43" s="138">
        <v>4.2359999999999998</v>
      </c>
      <c r="H43" s="138">
        <v>2.6549999999999998</v>
      </c>
      <c r="I43" s="139">
        <f t="shared" si="11"/>
        <v>50.279999999999994</v>
      </c>
      <c r="J43" s="192"/>
    </row>
    <row r="44" spans="1:16" x14ac:dyDescent="0.25">
      <c r="A44" s="96" t="s">
        <v>46</v>
      </c>
      <c r="B44" s="133" t="s">
        <v>9</v>
      </c>
      <c r="C44" s="138">
        <f>(C42*10*365/1000)*25+C43</f>
        <v>48.182874999999996</v>
      </c>
      <c r="D44" s="138">
        <f t="shared" ref="D44:H44" si="16">(D42*10*365/1000)*25+D43</f>
        <v>34.597874999999995</v>
      </c>
      <c r="E44" s="138">
        <f t="shared" si="16"/>
        <v>33.584999999999994</v>
      </c>
      <c r="F44" s="138">
        <f t="shared" si="16"/>
        <v>32.599500000000006</v>
      </c>
      <c r="G44" s="138">
        <f t="shared" si="16"/>
        <v>19.7621875</v>
      </c>
      <c r="H44" s="138">
        <f t="shared" si="16"/>
        <v>9.9002499999999998</v>
      </c>
      <c r="I44" s="135">
        <f t="shared" si="11"/>
        <v>178.62768749999998</v>
      </c>
      <c r="J44" s="192"/>
    </row>
    <row r="45" spans="1:16" x14ac:dyDescent="0.25">
      <c r="A45" s="96" t="s">
        <v>47</v>
      </c>
      <c r="B45" s="137" t="s">
        <v>14</v>
      </c>
      <c r="C45" s="138">
        <f>'Poupança 2028-2029'!C49*(1.0175^12.5)</f>
        <v>155.80509159332453</v>
      </c>
      <c r="D45" s="138">
        <f>'Poupança 2028-2029'!D49*(1.0175^12.5)</f>
        <v>192.16333946812807</v>
      </c>
      <c r="E45" s="138">
        <f>'Poupança 2028-2029'!E49*(1.0175^12.5)</f>
        <v>192.16333946812807</v>
      </c>
      <c r="F45" s="138">
        <f>'Poupança 2028-2029'!F49*(1.0175^12.5)</f>
        <v>199.7107502671478</v>
      </c>
      <c r="G45" s="138">
        <f>'Poupança 2028-2029'!G49*(1.0175^12.5)</f>
        <v>199.7107502671478</v>
      </c>
      <c r="H45" s="138">
        <f>'Poupança 2028-2029'!H49*(1.0175^12.5)</f>
        <v>199.7107502671478</v>
      </c>
      <c r="I45" s="138"/>
      <c r="J45" s="192"/>
    </row>
    <row r="46" spans="1:16" x14ac:dyDescent="0.25">
      <c r="A46" s="96" t="s">
        <v>48</v>
      </c>
      <c r="B46" s="133" t="s">
        <v>13</v>
      </c>
      <c r="C46" s="138">
        <f>C44*C45/1000</f>
        <v>7.5071372526047062</v>
      </c>
      <c r="D46" s="138">
        <f t="shared" ref="D46:H46" si="17">D44*D45/1000</f>
        <v>6.6484431985008605</v>
      </c>
      <c r="E46" s="138">
        <f t="shared" si="17"/>
        <v>6.4538057560370801</v>
      </c>
      <c r="F46" s="138">
        <f t="shared" si="17"/>
        <v>6.5104706033338866</v>
      </c>
      <c r="G46" s="138">
        <f t="shared" si="17"/>
        <v>3.9467212925450501</v>
      </c>
      <c r="H46" s="138">
        <f t="shared" si="17"/>
        <v>1.9771863553323299</v>
      </c>
      <c r="I46" s="139">
        <f t="shared" ref="I46" si="18">SUM(C46:H46)</f>
        <v>33.043764458353913</v>
      </c>
      <c r="J46" s="192"/>
    </row>
    <row r="47" spans="1:16" x14ac:dyDescent="0.25">
      <c r="A47" s="96" t="s">
        <v>49</v>
      </c>
      <c r="B47" s="133" t="s">
        <v>9</v>
      </c>
      <c r="C47" s="138">
        <f t="shared" ref="C47:H47" si="19">C38+C44</f>
        <v>99.401021028037377</v>
      </c>
      <c r="D47" s="138">
        <f t="shared" si="19"/>
        <v>70.657955607476623</v>
      </c>
      <c r="E47" s="138">
        <f t="shared" si="19"/>
        <v>68.632205607476635</v>
      </c>
      <c r="F47" s="138">
        <f t="shared" si="19"/>
        <v>66.538401869158889</v>
      </c>
      <c r="G47" s="138">
        <f t="shared" si="19"/>
        <v>40.236973130841122</v>
      </c>
      <c r="H47" s="138">
        <f t="shared" si="19"/>
        <v>20.247135514018691</v>
      </c>
      <c r="I47" s="139">
        <f t="shared" si="11"/>
        <v>365.71369275700931</v>
      </c>
      <c r="J47" s="192"/>
    </row>
    <row r="48" spans="1:16" x14ac:dyDescent="0.25">
      <c r="A48" s="96" t="s">
        <v>50</v>
      </c>
      <c r="B48" s="133" t="s">
        <v>13</v>
      </c>
      <c r="C48" s="138">
        <f t="shared" ref="C48:H48" si="20">C40+C46</f>
        <v>13.773857506245427</v>
      </c>
      <c r="D48" s="138">
        <f t="shared" si="20"/>
        <v>11.495009716229657</v>
      </c>
      <c r="E48" s="138">
        <f t="shared" si="20"/>
        <v>11.164239298493861</v>
      </c>
      <c r="F48" s="138">
        <f t="shared" si="20"/>
        <v>11.645291478737541</v>
      </c>
      <c r="G48" s="138">
        <f t="shared" si="20"/>
        <v>7.0444749288286079</v>
      </c>
      <c r="H48" s="138">
        <f t="shared" si="20"/>
        <v>3.5426289833118414</v>
      </c>
      <c r="I48" s="139">
        <f t="shared" ref="I48" si="21">SUM(C48:H48)</f>
        <v>58.665501911846938</v>
      </c>
      <c r="J48" s="192"/>
    </row>
    <row r="49" spans="1:10" x14ac:dyDescent="0.25">
      <c r="A49" s="96" t="s">
        <v>51</v>
      </c>
      <c r="B49" s="137" t="s">
        <v>14</v>
      </c>
      <c r="C49" s="138">
        <f t="shared" ref="C49:I49" si="22">C48/C47*1000</f>
        <v>138.56857166849753</v>
      </c>
      <c r="D49" s="138">
        <f t="shared" si="22"/>
        <v>162.6852860007362</v>
      </c>
      <c r="E49" s="138">
        <f t="shared" si="22"/>
        <v>162.66764559986186</v>
      </c>
      <c r="F49" s="138">
        <f t="shared" si="22"/>
        <v>175.01609824709706</v>
      </c>
      <c r="G49" s="138">
        <f t="shared" si="22"/>
        <v>175.07467338364745</v>
      </c>
      <c r="H49" s="138">
        <f t="shared" si="22"/>
        <v>174.96939163858511</v>
      </c>
      <c r="I49" s="138">
        <f t="shared" si="22"/>
        <v>160.41374187984255</v>
      </c>
      <c r="J49" s="192"/>
    </row>
    <row r="50" spans="1:10" x14ac:dyDescent="0.25">
      <c r="A50" s="96"/>
      <c r="B50" s="137"/>
      <c r="C50" s="138"/>
      <c r="D50" s="138"/>
      <c r="E50" s="138"/>
      <c r="F50" s="138"/>
      <c r="G50" s="138"/>
      <c r="H50" s="138"/>
      <c r="I50" s="138"/>
      <c r="J50" s="192"/>
    </row>
    <row r="51" spans="1:10" x14ac:dyDescent="0.25">
      <c r="A51" s="96" t="s">
        <v>52</v>
      </c>
      <c r="B51" s="137" t="s">
        <v>14</v>
      </c>
      <c r="C51" s="138">
        <f>'Poupança 2028-2029'!C57*(1.0175^12.5)</f>
        <v>-146.70650771409066</v>
      </c>
      <c r="D51" s="138">
        <f>'Poupança 2028-2029'!D57*(1.0175^12.5)</f>
        <v>-146.70650771409066</v>
      </c>
      <c r="E51" s="138">
        <f>'Poupança 2028-2029'!E57*(1.0175^12.5)</f>
        <v>-146.70650771409066</v>
      </c>
      <c r="F51" s="138">
        <f>'Poupança 2028-2029'!F57*(1.0175^12.5)</f>
        <v>-146.70650771409066</v>
      </c>
      <c r="G51" s="138">
        <f>'Poupança 2028-2029'!G57*(1.0175^12.5)</f>
        <v>-146.70650771409066</v>
      </c>
      <c r="H51" s="138">
        <f>'Poupança 2028-2029'!H57*(1.0175^12.5)</f>
        <v>-146.70650771409066</v>
      </c>
      <c r="I51" s="138"/>
      <c r="J51" s="192"/>
    </row>
    <row r="52" spans="1:10" x14ac:dyDescent="0.25">
      <c r="A52" s="96" t="s">
        <v>53</v>
      </c>
      <c r="B52" s="133" t="s">
        <v>13</v>
      </c>
      <c r="C52" s="138">
        <v>0</v>
      </c>
      <c r="D52" s="143">
        <f>D51*D47/1000/3.6/20</f>
        <v>-0.143971970963752</v>
      </c>
      <c r="E52" s="138">
        <v>0</v>
      </c>
      <c r="F52" s="138">
        <v>0</v>
      </c>
      <c r="G52" s="138">
        <v>0</v>
      </c>
      <c r="H52" s="138">
        <v>0</v>
      </c>
      <c r="I52" s="139">
        <f>SUM(C52:H52)</f>
        <v>-0.143971970963752</v>
      </c>
      <c r="J52" s="192"/>
    </row>
    <row r="53" spans="1:10" x14ac:dyDescent="0.25">
      <c r="A53" s="96"/>
      <c r="B53" s="133"/>
      <c r="C53" s="138"/>
      <c r="D53" s="138"/>
      <c r="E53" s="139"/>
      <c r="F53" s="139"/>
      <c r="G53" s="139"/>
      <c r="H53" s="139"/>
      <c r="I53" s="139"/>
      <c r="J53" s="192"/>
    </row>
    <row r="54" spans="1:10" x14ac:dyDescent="0.25">
      <c r="A54" s="96" t="s">
        <v>54</v>
      </c>
      <c r="B54" s="133" t="s">
        <v>9</v>
      </c>
      <c r="C54" s="138">
        <f>C47-C43</f>
        <v>81.358021028037371</v>
      </c>
      <c r="D54" s="138">
        <f t="shared" ref="D54:H54" si="23">D47-D43</f>
        <v>61.965955607476623</v>
      </c>
      <c r="E54" s="138">
        <f t="shared" si="23"/>
        <v>59.940205607476635</v>
      </c>
      <c r="F54" s="138">
        <f t="shared" si="23"/>
        <v>58.576401869158886</v>
      </c>
      <c r="G54" s="138">
        <f t="shared" si="23"/>
        <v>36.000973130841125</v>
      </c>
      <c r="H54" s="138">
        <f t="shared" si="23"/>
        <v>17.59213551401869</v>
      </c>
      <c r="I54" s="139">
        <f t="shared" ref="I54:I59" si="24">SUM(C54:H54)</f>
        <v>315.43369275700934</v>
      </c>
      <c r="J54" s="192"/>
    </row>
    <row r="55" spans="1:10" x14ac:dyDescent="0.25">
      <c r="A55" s="96" t="s">
        <v>22</v>
      </c>
      <c r="B55" s="133" t="s">
        <v>9</v>
      </c>
      <c r="C55" s="138">
        <f>-0.144*C54</f>
        <v>-11.715555028037381</v>
      </c>
      <c r="D55" s="138">
        <f t="shared" ref="D55:H55" si="25">-0.144*D54</f>
        <v>-8.9230976074766328</v>
      </c>
      <c r="E55" s="138">
        <f t="shared" si="25"/>
        <v>-8.6313896074766348</v>
      </c>
      <c r="F55" s="138">
        <f t="shared" si="25"/>
        <v>-8.4350018691588797</v>
      </c>
      <c r="G55" s="138">
        <f t="shared" si="25"/>
        <v>-5.1841401308411212</v>
      </c>
      <c r="H55" s="138">
        <f t="shared" si="25"/>
        <v>-2.5332675140186911</v>
      </c>
      <c r="I55" s="232">
        <f t="shared" si="24"/>
        <v>-45.422451757009341</v>
      </c>
      <c r="J55" s="192"/>
    </row>
    <row r="56" spans="1:10" x14ac:dyDescent="0.25">
      <c r="A56" s="96" t="s">
        <v>40</v>
      </c>
      <c r="B56" s="133" t="s">
        <v>9</v>
      </c>
      <c r="C56" s="138">
        <v>-15.773</v>
      </c>
      <c r="D56" s="138">
        <v>-7.4640000000000004</v>
      </c>
      <c r="E56" s="138">
        <v>-8.6920000000000002</v>
      </c>
      <c r="F56" s="138">
        <v>-7.9619999999999997</v>
      </c>
      <c r="G56" s="138">
        <v>-4.2359999999999998</v>
      </c>
      <c r="H56" s="138">
        <v>-2.6549999999999998</v>
      </c>
      <c r="I56" s="232">
        <f t="shared" si="24"/>
        <v>-46.782000000000004</v>
      </c>
      <c r="J56" s="192"/>
    </row>
    <row r="57" spans="1:10" x14ac:dyDescent="0.25">
      <c r="A57" s="224" t="s">
        <v>55</v>
      </c>
      <c r="B57" s="137" t="s">
        <v>9</v>
      </c>
      <c r="C57" s="138">
        <f>SUM(C54:C56)</f>
        <v>53.869465999999989</v>
      </c>
      <c r="D57" s="138">
        <f t="shared" ref="D57:H57" si="26">SUM(D54:D56)</f>
        <v>45.57885799999999</v>
      </c>
      <c r="E57" s="138">
        <f t="shared" si="26"/>
        <v>42.616816</v>
      </c>
      <c r="F57" s="138">
        <f t="shared" si="26"/>
        <v>42.179400000000001</v>
      </c>
      <c r="G57" s="138">
        <f t="shared" si="26"/>
        <v>26.580833000000002</v>
      </c>
      <c r="H57" s="138">
        <f t="shared" si="26"/>
        <v>12.403867999999999</v>
      </c>
      <c r="I57" s="139">
        <f t="shared" si="24"/>
        <v>223.22924099999997</v>
      </c>
      <c r="J57" s="192"/>
    </row>
    <row r="58" spans="1:10" x14ac:dyDescent="0.25">
      <c r="A58" s="224" t="s">
        <v>55</v>
      </c>
      <c r="B58" s="133" t="s">
        <v>13</v>
      </c>
      <c r="C58" s="138">
        <f t="shared" ref="C58:H58" si="27">C15*C57/1000</f>
        <v>9.1007322101884949</v>
      </c>
      <c r="D58" s="138">
        <f t="shared" si="27"/>
        <v>7.7709956543542384</v>
      </c>
      <c r="E58" s="138">
        <f t="shared" si="27"/>
        <v>8.164154059517319</v>
      </c>
      <c r="F58" s="138">
        <f t="shared" si="27"/>
        <v>8.2808186389888689</v>
      </c>
      <c r="G58" s="138">
        <f t="shared" si="27"/>
        <v>6.3391922206510394</v>
      </c>
      <c r="H58" s="138">
        <f t="shared" si="27"/>
        <v>3.0359429375523033</v>
      </c>
      <c r="I58" s="139">
        <f t="shared" si="24"/>
        <v>42.691835721252275</v>
      </c>
      <c r="J58" s="192"/>
    </row>
    <row r="59" spans="1:10" x14ac:dyDescent="0.25">
      <c r="A59" s="96" t="s">
        <v>56</v>
      </c>
      <c r="B59" s="133" t="s">
        <v>13</v>
      </c>
      <c r="C59" s="138">
        <f t="shared" ref="C59:H59" si="28">-(C58-C48-C52)</f>
        <v>4.6731252960569325</v>
      </c>
      <c r="D59" s="138">
        <f t="shared" si="28"/>
        <v>3.5800420909116659</v>
      </c>
      <c r="E59" s="138">
        <f t="shared" si="28"/>
        <v>3.000085238976542</v>
      </c>
      <c r="F59" s="138">
        <f t="shared" si="28"/>
        <v>3.3644728397486716</v>
      </c>
      <c r="G59" s="138">
        <f t="shared" si="28"/>
        <v>0.70528270817756855</v>
      </c>
      <c r="H59" s="138">
        <f t="shared" si="28"/>
        <v>0.50668604575953813</v>
      </c>
      <c r="I59" s="139">
        <f t="shared" si="24"/>
        <v>15.82969421963092</v>
      </c>
      <c r="J59" s="192"/>
    </row>
    <row r="60" spans="1:10" x14ac:dyDescent="0.25">
      <c r="A60" s="120" t="s">
        <v>57</v>
      </c>
      <c r="B60" s="140" t="s">
        <v>9</v>
      </c>
      <c r="C60" s="139">
        <f t="shared" ref="C60:I60" si="29">C22+C57</f>
        <v>836.74980199999993</v>
      </c>
      <c r="D60" s="139">
        <f t="shared" si="29"/>
        <v>460.63899399999997</v>
      </c>
      <c r="E60" s="139">
        <f t="shared" si="29"/>
        <v>356.79808800000001</v>
      </c>
      <c r="F60" s="139">
        <f t="shared" si="29"/>
        <v>333.58483999999999</v>
      </c>
      <c r="G60" s="139">
        <f t="shared" si="29"/>
        <v>157.36240900000001</v>
      </c>
      <c r="H60" s="139">
        <f t="shared" si="29"/>
        <v>87.843716000000001</v>
      </c>
      <c r="I60" s="139">
        <f t="shared" si="29"/>
        <v>2232.9778489999999</v>
      </c>
      <c r="J60" s="192"/>
    </row>
    <row r="61" spans="1:10" x14ac:dyDescent="0.25">
      <c r="A61" s="96"/>
      <c r="B61" s="137"/>
      <c r="C61" s="138"/>
      <c r="D61" s="138"/>
      <c r="E61" s="138"/>
      <c r="F61" s="138"/>
      <c r="G61" s="138"/>
      <c r="H61" s="138"/>
      <c r="I61" s="139"/>
      <c r="J61" s="192"/>
    </row>
    <row r="62" spans="1:10" x14ac:dyDescent="0.25">
      <c r="A62" s="96"/>
      <c r="B62" s="133"/>
      <c r="C62" s="149"/>
      <c r="D62" s="138"/>
      <c r="E62" s="138"/>
      <c r="F62" s="138"/>
      <c r="G62" s="138"/>
      <c r="H62" s="138"/>
      <c r="I62" s="138"/>
      <c r="J62" s="192"/>
    </row>
    <row r="63" spans="1:10" x14ac:dyDescent="0.25">
      <c r="A63" s="96"/>
      <c r="B63" s="133"/>
      <c r="C63" s="138"/>
      <c r="D63" s="138"/>
      <c r="E63" s="138"/>
      <c r="F63" s="138"/>
      <c r="G63" s="138"/>
      <c r="H63" s="138"/>
      <c r="I63" s="138"/>
      <c r="J63" s="192"/>
    </row>
    <row r="64" spans="1:10" x14ac:dyDescent="0.25">
      <c r="A64" s="96"/>
      <c r="B64" s="133"/>
      <c r="C64" s="144"/>
      <c r="D64" s="144"/>
      <c r="E64" s="144"/>
      <c r="F64" s="144"/>
      <c r="G64" s="144"/>
      <c r="H64" s="144"/>
      <c r="I64" s="144"/>
      <c r="J64" s="192"/>
    </row>
    <row r="65" spans="1:10" x14ac:dyDescent="0.25">
      <c r="A65" s="96"/>
      <c r="B65" s="133"/>
      <c r="C65" s="138"/>
      <c r="D65" s="138"/>
      <c r="E65" s="136"/>
      <c r="F65" s="136"/>
      <c r="G65" s="136"/>
      <c r="H65" s="136"/>
      <c r="I65" s="135"/>
      <c r="J65" s="192"/>
    </row>
    <row r="66" spans="1:10" x14ac:dyDescent="0.25">
      <c r="A66" s="96"/>
      <c r="B66" s="137"/>
      <c r="C66" s="138"/>
      <c r="D66" s="138"/>
      <c r="E66" s="138"/>
      <c r="F66" s="138"/>
      <c r="G66" s="138"/>
      <c r="H66" s="138"/>
      <c r="I66" s="135"/>
      <c r="J66" s="192"/>
    </row>
    <row r="67" spans="1:10" x14ac:dyDescent="0.25">
      <c r="A67" s="96"/>
      <c r="B67" s="133"/>
      <c r="C67" s="136"/>
      <c r="D67" s="136"/>
      <c r="E67" s="136"/>
      <c r="F67" s="136"/>
      <c r="G67" s="136"/>
      <c r="H67" s="136"/>
      <c r="I67" s="135"/>
      <c r="J67" s="192"/>
    </row>
    <row r="68" spans="1:10" x14ac:dyDescent="0.25">
      <c r="A68" s="96"/>
      <c r="B68" s="133"/>
      <c r="C68" s="136"/>
      <c r="D68" s="136"/>
      <c r="E68" s="136"/>
      <c r="F68" s="136"/>
      <c r="G68" s="136"/>
      <c r="H68" s="136"/>
      <c r="I68" s="135"/>
      <c r="J68" s="192"/>
    </row>
    <row r="69" spans="1:10" x14ac:dyDescent="0.25">
      <c r="A69" s="96"/>
      <c r="B69" s="133"/>
      <c r="C69" s="136"/>
      <c r="D69" s="136"/>
      <c r="E69" s="136"/>
      <c r="F69" s="136"/>
      <c r="G69" s="136"/>
      <c r="H69" s="136"/>
      <c r="I69" s="135"/>
      <c r="J69" s="192"/>
    </row>
    <row r="70" spans="1:10" x14ac:dyDescent="0.25">
      <c r="A70" s="96"/>
      <c r="B70" s="133"/>
      <c r="C70" s="138"/>
      <c r="D70" s="138"/>
      <c r="E70" s="138"/>
      <c r="F70" s="138"/>
      <c r="G70" s="138"/>
      <c r="H70" s="138"/>
      <c r="I70" s="135"/>
      <c r="J70" s="192"/>
    </row>
    <row r="71" spans="1:10" x14ac:dyDescent="0.25">
      <c r="A71" s="96"/>
      <c r="B71" s="133"/>
      <c r="C71" s="138"/>
      <c r="D71" s="138"/>
      <c r="E71" s="138"/>
      <c r="F71" s="138"/>
      <c r="G71" s="138"/>
      <c r="H71" s="138"/>
      <c r="I71" s="139"/>
      <c r="J71" s="192"/>
    </row>
    <row r="72" spans="1:10" x14ac:dyDescent="0.25">
      <c r="A72" s="96"/>
      <c r="B72" s="133"/>
      <c r="C72" s="151"/>
      <c r="D72" s="151"/>
      <c r="E72" s="151"/>
      <c r="F72" s="151"/>
      <c r="G72" s="151"/>
      <c r="H72" s="151"/>
      <c r="I72" s="178"/>
      <c r="J72" s="192"/>
    </row>
    <row r="73" spans="1:10" x14ac:dyDescent="0.25">
      <c r="A73" s="150"/>
      <c r="B73" s="133"/>
      <c r="C73" s="122"/>
      <c r="D73" s="122"/>
      <c r="E73" s="122"/>
      <c r="F73" s="122"/>
      <c r="G73" s="122"/>
      <c r="H73" s="122"/>
      <c r="I73" s="154"/>
      <c r="J73" s="192"/>
    </row>
    <row r="74" spans="1:10" x14ac:dyDescent="0.25">
      <c r="A74" s="155"/>
      <c r="B74" s="140"/>
      <c r="C74" s="153"/>
      <c r="D74" s="153"/>
      <c r="E74" s="153"/>
      <c r="F74" s="153"/>
      <c r="G74" s="153"/>
      <c r="H74" s="153"/>
      <c r="I74" s="152"/>
      <c r="J74" s="192"/>
    </row>
    <row r="75" spans="1:10" x14ac:dyDescent="0.25">
      <c r="A75" s="97"/>
      <c r="B75" s="97"/>
      <c r="C75" s="97"/>
      <c r="D75" s="97"/>
      <c r="E75" s="97"/>
      <c r="F75" s="97"/>
      <c r="G75" s="97"/>
      <c r="H75" s="97"/>
      <c r="I75" s="97"/>
      <c r="J75" s="192"/>
    </row>
    <row r="76" spans="1:10" x14ac:dyDescent="0.25">
      <c r="A76" s="147"/>
      <c r="B76" s="97"/>
      <c r="C76" s="130"/>
      <c r="D76" s="130"/>
      <c r="E76" s="130"/>
      <c r="F76" s="130"/>
      <c r="G76" s="130"/>
      <c r="H76" s="130"/>
      <c r="I76" s="130"/>
      <c r="J76" s="192"/>
    </row>
    <row r="77" spans="1:10" x14ac:dyDescent="0.25">
      <c r="A77" s="148"/>
      <c r="B77" s="97"/>
      <c r="C77" s="130"/>
      <c r="D77" s="130"/>
      <c r="E77" s="130"/>
      <c r="F77" s="130"/>
      <c r="G77" s="130"/>
      <c r="H77" s="130"/>
      <c r="I77" s="130"/>
      <c r="J77" s="192"/>
    </row>
    <row r="78" spans="1:10" x14ac:dyDescent="0.25">
      <c r="A78" s="120"/>
      <c r="B78" s="94"/>
      <c r="C78" s="109"/>
      <c r="D78" s="109"/>
      <c r="E78" s="109"/>
      <c r="F78" s="109"/>
      <c r="G78" s="109"/>
      <c r="H78" s="109"/>
      <c r="I78" s="110"/>
      <c r="J78" s="192"/>
    </row>
    <row r="79" spans="1:10" x14ac:dyDescent="0.25">
      <c r="A79" s="124"/>
      <c r="B79" s="125"/>
      <c r="C79" s="203"/>
      <c r="D79" s="203"/>
      <c r="E79" s="203"/>
      <c r="F79" s="203"/>
      <c r="G79" s="203"/>
      <c r="H79" s="203"/>
      <c r="I79" s="203"/>
      <c r="J79" s="192"/>
    </row>
    <row r="80" spans="1:10" x14ac:dyDescent="0.25">
      <c r="A80" s="124"/>
      <c r="B80" s="125"/>
      <c r="C80" s="122"/>
      <c r="D80" s="122"/>
      <c r="E80" s="122"/>
      <c r="F80" s="122"/>
      <c r="G80" s="122"/>
      <c r="H80" s="122"/>
      <c r="I80" s="122"/>
      <c r="J80" s="192"/>
    </row>
    <row r="81" spans="1:17" x14ac:dyDescent="0.25">
      <c r="A81" s="124"/>
      <c r="B81" s="125"/>
      <c r="C81" s="122"/>
      <c r="D81" s="122"/>
      <c r="E81" s="122"/>
      <c r="F81" s="122"/>
      <c r="G81" s="122"/>
      <c r="H81" s="122"/>
      <c r="I81" s="122"/>
      <c r="J81" s="192"/>
    </row>
    <row r="82" spans="1:17" x14ac:dyDescent="0.25">
      <c r="A82" s="124"/>
      <c r="B82" s="125"/>
      <c r="C82" s="122"/>
      <c r="D82" s="122"/>
      <c r="E82" s="122"/>
      <c r="F82" s="122"/>
      <c r="G82" s="122"/>
      <c r="H82" s="122"/>
      <c r="I82" s="122"/>
      <c r="J82" s="192"/>
    </row>
    <row r="83" spans="1:17" x14ac:dyDescent="0.25">
      <c r="A83" s="120"/>
      <c r="B83" s="94"/>
      <c r="C83" s="104"/>
      <c r="D83" s="104"/>
      <c r="E83" s="104"/>
      <c r="F83" s="104"/>
      <c r="G83" s="104"/>
      <c r="H83" s="104"/>
      <c r="I83" s="100"/>
      <c r="J83" s="192"/>
    </row>
    <row r="84" spans="1:17" x14ac:dyDescent="0.25">
      <c r="A84" s="124"/>
      <c r="B84" s="125"/>
      <c r="C84" s="122"/>
      <c r="D84" s="122"/>
      <c r="E84" s="122"/>
      <c r="F84" s="122"/>
      <c r="G84" s="122"/>
      <c r="H84" s="122"/>
      <c r="I84" s="123"/>
      <c r="J84" s="192"/>
    </row>
    <row r="85" spans="1:17" x14ac:dyDescent="0.25">
      <c r="A85" s="166"/>
      <c r="B85" s="156"/>
      <c r="C85" s="157"/>
      <c r="D85" s="157"/>
      <c r="E85" s="157"/>
      <c r="F85" s="157"/>
      <c r="G85" s="157"/>
      <c r="H85" s="157"/>
      <c r="I85" s="158"/>
      <c r="J85" s="192"/>
      <c r="K85" s="91"/>
    </row>
    <row r="86" spans="1:17" x14ac:dyDescent="0.25">
      <c r="A86" s="183"/>
      <c r="B86" s="184"/>
      <c r="C86" s="185"/>
      <c r="D86" s="185"/>
      <c r="E86" s="185"/>
      <c r="F86" s="185"/>
      <c r="G86" s="185"/>
      <c r="H86" s="185"/>
      <c r="I86" s="186"/>
      <c r="J86" s="192"/>
      <c r="K86" s="30"/>
    </row>
    <row r="87" spans="1:17" x14ac:dyDescent="0.25">
      <c r="A87" s="187"/>
      <c r="B87" s="184"/>
      <c r="C87" s="185"/>
      <c r="D87" s="185"/>
      <c r="E87" s="185"/>
      <c r="F87" s="185"/>
      <c r="G87" s="185"/>
      <c r="H87" s="185"/>
      <c r="I87" s="186"/>
      <c r="J87" s="192"/>
    </row>
    <row r="88" spans="1:17" x14ac:dyDescent="0.25">
      <c r="A88" s="187"/>
      <c r="B88" s="184"/>
      <c r="C88" s="185"/>
      <c r="D88" s="185"/>
      <c r="E88" s="185"/>
      <c r="F88" s="185"/>
      <c r="G88" s="185"/>
      <c r="H88" s="185"/>
      <c r="I88" s="186"/>
      <c r="J88" s="192"/>
      <c r="Q88" s="89"/>
    </row>
    <row r="89" spans="1:17" x14ac:dyDescent="0.25">
      <c r="A89" s="179"/>
      <c r="B89" s="180"/>
      <c r="C89" s="181"/>
      <c r="D89" s="181"/>
      <c r="E89" s="181"/>
      <c r="F89" s="181"/>
      <c r="G89" s="181"/>
      <c r="H89" s="181"/>
      <c r="I89" s="182"/>
      <c r="J89" s="192"/>
      <c r="Q89" s="89"/>
    </row>
    <row r="90" spans="1:17" x14ac:dyDescent="0.25">
      <c r="A90" s="159"/>
      <c r="B90" s="160"/>
      <c r="C90" s="161"/>
      <c r="D90" s="161"/>
      <c r="E90" s="161"/>
      <c r="F90" s="161"/>
      <c r="G90" s="161"/>
      <c r="H90" s="161"/>
      <c r="I90" s="162"/>
      <c r="J90" s="192"/>
      <c r="Q90" s="89"/>
    </row>
    <row r="91" spans="1:17" x14ac:dyDescent="0.25">
      <c r="A91" s="159"/>
      <c r="B91" s="163"/>
      <c r="C91" s="164"/>
      <c r="D91" s="164"/>
      <c r="E91" s="164"/>
      <c r="F91" s="164"/>
      <c r="G91" s="164"/>
      <c r="H91" s="164"/>
      <c r="I91" s="165"/>
      <c r="J91" s="192"/>
      <c r="Q91" s="89"/>
    </row>
    <row r="92" spans="1:17" x14ac:dyDescent="0.25">
      <c r="A92" s="166"/>
      <c r="B92" s="160"/>
      <c r="C92" s="188"/>
      <c r="D92" s="188"/>
      <c r="E92" s="188"/>
      <c r="F92" s="188"/>
      <c r="G92" s="188"/>
      <c r="H92" s="188"/>
      <c r="I92" s="188"/>
      <c r="J92" s="192"/>
      <c r="Q92" s="89"/>
    </row>
    <row r="93" spans="1:17" x14ac:dyDescent="0.25">
      <c r="A93" s="121"/>
      <c r="B93" s="94"/>
      <c r="C93" s="101"/>
      <c r="D93" s="101"/>
      <c r="E93" s="101"/>
      <c r="F93" s="101"/>
      <c r="G93" s="101"/>
      <c r="H93" s="101"/>
      <c r="I93" s="102"/>
      <c r="J93" s="192"/>
      <c r="Q93" s="89"/>
    </row>
    <row r="94" spans="1:17" x14ac:dyDescent="0.25">
      <c r="A94" s="120"/>
      <c r="B94" s="94"/>
      <c r="C94" s="104"/>
      <c r="D94" s="104"/>
      <c r="E94" s="104"/>
      <c r="F94" s="104"/>
      <c r="G94" s="104"/>
      <c r="H94" s="104"/>
      <c r="I94" s="100"/>
      <c r="J94" s="192"/>
    </row>
    <row r="95" spans="1:17" x14ac:dyDescent="0.25">
      <c r="A95" s="96"/>
      <c r="B95" s="94"/>
      <c r="C95" s="101"/>
      <c r="D95" s="101"/>
      <c r="E95" s="101"/>
      <c r="F95" s="101"/>
      <c r="G95" s="101"/>
      <c r="H95" s="101"/>
      <c r="I95" s="102"/>
      <c r="J95" s="192"/>
      <c r="K95" s="30"/>
    </row>
    <row r="96" spans="1:17" x14ac:dyDescent="0.25">
      <c r="A96" s="96"/>
      <c r="B96" s="94"/>
      <c r="C96" s="101"/>
      <c r="D96" s="101"/>
      <c r="E96" s="101"/>
      <c r="F96" s="101"/>
      <c r="G96" s="101"/>
      <c r="H96" s="101"/>
      <c r="I96" s="102"/>
      <c r="J96" s="192"/>
    </row>
    <row r="97" spans="1:11" x14ac:dyDescent="0.25">
      <c r="A97" s="121"/>
      <c r="B97" s="94"/>
      <c r="C97" s="101"/>
      <c r="D97" s="101"/>
      <c r="E97" s="101"/>
      <c r="F97" s="101"/>
      <c r="G97" s="101"/>
      <c r="H97" s="101"/>
      <c r="I97" s="102"/>
      <c r="J97" s="192"/>
      <c r="K97" s="30"/>
    </row>
    <row r="98" spans="1:11" x14ac:dyDescent="0.25">
      <c r="A98" s="120"/>
      <c r="B98" s="94"/>
      <c r="C98" s="99"/>
      <c r="D98" s="99"/>
      <c r="E98" s="99"/>
      <c r="F98" s="99"/>
      <c r="G98" s="99"/>
      <c r="H98" s="99"/>
      <c r="I98" s="105"/>
      <c r="J98" s="192"/>
      <c r="K98" s="30"/>
    </row>
    <row r="99" spans="1:11" x14ac:dyDescent="0.25">
      <c r="A99" s="96"/>
      <c r="B99" s="94"/>
      <c r="C99" s="99"/>
      <c r="D99" s="99"/>
      <c r="E99" s="99"/>
      <c r="F99" s="99"/>
      <c r="G99" s="99"/>
      <c r="H99" s="99"/>
      <c r="I99" s="105"/>
      <c r="J99" s="192"/>
      <c r="K99" s="30"/>
    </row>
    <row r="100" spans="1:11" x14ac:dyDescent="0.25">
      <c r="A100" s="96"/>
      <c r="B100" s="94"/>
      <c r="C100" s="99"/>
      <c r="D100" s="99"/>
      <c r="E100" s="99"/>
      <c r="F100" s="99"/>
      <c r="G100" s="99"/>
      <c r="H100" s="99"/>
      <c r="I100" s="105"/>
      <c r="J100" s="192"/>
      <c r="K100" s="30"/>
    </row>
    <row r="101" spans="1:11" x14ac:dyDescent="0.25">
      <c r="A101" s="96"/>
      <c r="B101" s="94"/>
      <c r="C101" s="99"/>
      <c r="D101" s="99"/>
      <c r="E101" s="99"/>
      <c r="F101" s="99"/>
      <c r="G101" s="99"/>
      <c r="H101" s="99"/>
      <c r="I101" s="105"/>
      <c r="J101" s="192"/>
      <c r="K101" s="30"/>
    </row>
    <row r="102" spans="1:11" x14ac:dyDescent="0.25">
      <c r="A102" s="119"/>
      <c r="B102" s="94"/>
      <c r="C102" s="104"/>
      <c r="D102" s="104"/>
      <c r="E102" s="104"/>
      <c r="F102" s="104"/>
      <c r="G102" s="104"/>
      <c r="H102" s="104"/>
      <c r="I102" s="100"/>
      <c r="J102" s="192"/>
      <c r="K102" s="30"/>
    </row>
    <row r="103" spans="1:11" x14ac:dyDescent="0.25">
      <c r="A103" s="121"/>
      <c r="B103" s="94"/>
      <c r="C103" s="104"/>
      <c r="D103" s="104"/>
      <c r="E103" s="104"/>
      <c r="F103" s="104"/>
      <c r="G103" s="104"/>
      <c r="H103" s="104"/>
      <c r="I103" s="100"/>
      <c r="J103" s="192"/>
    </row>
    <row r="104" spans="1:11" x14ac:dyDescent="0.25">
      <c r="A104" s="120"/>
      <c r="B104" s="94"/>
      <c r="C104" s="104"/>
      <c r="D104" s="104"/>
      <c r="E104" s="104"/>
      <c r="F104" s="104"/>
      <c r="G104" s="104"/>
      <c r="H104" s="104"/>
      <c r="I104" s="100"/>
      <c r="J104" s="194"/>
    </row>
    <row r="105" spans="1:11" x14ac:dyDescent="0.25">
      <c r="A105" s="96"/>
      <c r="B105" s="94"/>
      <c r="C105" s="99"/>
      <c r="D105" s="99"/>
      <c r="E105" s="99"/>
      <c r="F105" s="99"/>
      <c r="G105" s="99"/>
      <c r="H105" s="99"/>
      <c r="I105" s="105"/>
      <c r="J105" s="192"/>
    </row>
    <row r="106" spans="1:11" x14ac:dyDescent="0.25">
      <c r="A106" s="96"/>
      <c r="B106" s="94"/>
      <c r="C106" s="99"/>
      <c r="D106" s="99"/>
      <c r="E106" s="99"/>
      <c r="F106" s="99"/>
      <c r="G106" s="99"/>
      <c r="H106" s="99"/>
      <c r="I106" s="105"/>
      <c r="J106" s="192"/>
    </row>
    <row r="107" spans="1:11" x14ac:dyDescent="0.25">
      <c r="A107" s="120"/>
      <c r="B107" s="93"/>
      <c r="C107" s="104"/>
      <c r="D107" s="104"/>
      <c r="E107" s="104"/>
      <c r="F107" s="104"/>
      <c r="G107" s="104"/>
      <c r="H107" s="104"/>
      <c r="I107" s="107"/>
      <c r="J107" s="192"/>
    </row>
    <row r="108" spans="1:11" x14ac:dyDescent="0.25">
      <c r="A108" s="96"/>
      <c r="B108" s="95"/>
      <c r="C108" s="101"/>
      <c r="D108" s="101"/>
      <c r="E108" s="101"/>
      <c r="F108" s="101"/>
      <c r="G108" s="101"/>
      <c r="H108" s="101"/>
      <c r="I108" s="102"/>
      <c r="J108" s="192"/>
    </row>
    <row r="109" spans="1:11" x14ac:dyDescent="0.25">
      <c r="A109" s="96"/>
      <c r="B109" s="95"/>
      <c r="C109" s="101"/>
      <c r="D109" s="101"/>
      <c r="E109" s="101"/>
      <c r="F109" s="101"/>
      <c r="G109" s="101"/>
      <c r="H109" s="101"/>
      <c r="I109" s="102"/>
      <c r="J109" s="192"/>
    </row>
    <row r="110" spans="1:11" x14ac:dyDescent="0.25">
      <c r="A110" s="96"/>
      <c r="B110" s="95"/>
      <c r="C110" s="101"/>
      <c r="D110" s="101"/>
      <c r="E110" s="101"/>
      <c r="F110" s="101"/>
      <c r="G110" s="101"/>
      <c r="H110" s="101"/>
      <c r="I110" s="102"/>
      <c r="J110" s="192"/>
    </row>
    <row r="111" spans="1:11" x14ac:dyDescent="0.25">
      <c r="A111" s="120"/>
      <c r="B111" s="95"/>
      <c r="C111" s="106"/>
      <c r="D111" s="106"/>
      <c r="E111" s="106"/>
      <c r="F111" s="106"/>
      <c r="G111" s="106"/>
      <c r="H111" s="106"/>
      <c r="I111" s="107"/>
      <c r="J111" s="192"/>
    </row>
    <row r="112" spans="1:11" x14ac:dyDescent="0.25">
      <c r="A112" s="121"/>
      <c r="B112" s="94"/>
      <c r="C112" s="83"/>
      <c r="D112" s="83"/>
      <c r="E112" s="83"/>
      <c r="F112" s="83"/>
      <c r="G112" s="83"/>
      <c r="H112" s="83"/>
      <c r="I112" s="108"/>
      <c r="J112" s="192"/>
      <c r="K112" s="30"/>
    </row>
    <row r="113" spans="1:15" x14ac:dyDescent="0.25">
      <c r="A113" s="120"/>
      <c r="B113" s="94"/>
      <c r="C113" s="83"/>
      <c r="D113" s="83"/>
      <c r="E113" s="83"/>
      <c r="F113" s="83"/>
      <c r="G113" s="83"/>
      <c r="H113" s="83"/>
      <c r="I113" s="108"/>
      <c r="J113" s="192"/>
    </row>
    <row r="114" spans="1:15" x14ac:dyDescent="0.25">
      <c r="A114" s="96"/>
      <c r="B114" s="94"/>
      <c r="C114" s="83"/>
      <c r="D114" s="83"/>
      <c r="E114" s="83"/>
      <c r="F114" s="83"/>
      <c r="G114" s="83"/>
      <c r="H114" s="83"/>
      <c r="I114" s="83"/>
      <c r="J114" s="192"/>
    </row>
    <row r="115" spans="1:15" x14ac:dyDescent="0.25">
      <c r="A115" s="96"/>
      <c r="B115" s="94"/>
      <c r="C115" s="83"/>
      <c r="D115" s="83"/>
      <c r="E115" s="83"/>
      <c r="F115" s="83"/>
      <c r="G115" s="83"/>
      <c r="H115" s="83"/>
      <c r="I115" s="83"/>
      <c r="J115" s="192"/>
    </row>
    <row r="116" spans="1:15" x14ac:dyDescent="0.25">
      <c r="A116" s="96"/>
      <c r="B116" s="94"/>
      <c r="C116" s="83"/>
      <c r="D116" s="83"/>
      <c r="E116" s="83"/>
      <c r="F116" s="83"/>
      <c r="G116" s="83"/>
      <c r="H116" s="83"/>
      <c r="I116" s="108"/>
      <c r="J116" s="192"/>
    </row>
    <row r="117" spans="1:15" x14ac:dyDescent="0.25">
      <c r="A117" s="121"/>
      <c r="B117" s="93"/>
      <c r="C117" s="109"/>
      <c r="D117" s="109"/>
      <c r="E117" s="109"/>
      <c r="F117" s="109"/>
      <c r="G117" s="109"/>
      <c r="H117" s="109"/>
      <c r="I117" s="110"/>
      <c r="J117" s="192"/>
    </row>
    <row r="118" spans="1:15" x14ac:dyDescent="0.25">
      <c r="A118" s="168"/>
      <c r="B118" s="169"/>
      <c r="C118" s="170"/>
      <c r="D118" s="170"/>
      <c r="E118" s="170"/>
      <c r="F118" s="170"/>
      <c r="G118" s="170"/>
      <c r="H118" s="170"/>
      <c r="I118" s="171"/>
      <c r="J118" s="192"/>
    </row>
    <row r="119" spans="1:15" x14ac:dyDescent="0.25">
      <c r="A119" s="172"/>
      <c r="B119" s="173"/>
      <c r="C119" s="167"/>
      <c r="D119" s="167"/>
      <c r="E119" s="167"/>
      <c r="F119" s="167"/>
      <c r="G119" s="167"/>
      <c r="H119" s="167"/>
      <c r="I119" s="174"/>
      <c r="J119" s="192"/>
    </row>
    <row r="120" spans="1:15" x14ac:dyDescent="0.25">
      <c r="A120" s="172"/>
      <c r="B120" s="173"/>
      <c r="C120" s="167"/>
      <c r="D120" s="167"/>
      <c r="E120" s="167"/>
      <c r="F120" s="167"/>
      <c r="G120" s="167"/>
      <c r="H120" s="167"/>
      <c r="I120" s="174"/>
      <c r="J120" s="192"/>
    </row>
    <row r="121" spans="1:15" x14ac:dyDescent="0.25">
      <c r="A121" s="172"/>
      <c r="B121" s="173"/>
      <c r="C121" s="167"/>
      <c r="D121" s="167"/>
      <c r="E121" s="167"/>
      <c r="F121" s="167"/>
      <c r="G121" s="167"/>
      <c r="H121" s="167"/>
      <c r="I121" s="167"/>
      <c r="J121" s="192"/>
    </row>
    <row r="122" spans="1:15" x14ac:dyDescent="0.25">
      <c r="A122" s="172"/>
      <c r="B122" s="173"/>
      <c r="C122" s="167"/>
      <c r="D122" s="167"/>
      <c r="E122" s="167"/>
      <c r="F122" s="167"/>
      <c r="G122" s="167"/>
      <c r="H122" s="167"/>
      <c r="I122" s="167"/>
      <c r="J122" s="192"/>
    </row>
    <row r="123" spans="1:15" x14ac:dyDescent="0.25">
      <c r="A123" s="172"/>
      <c r="B123" s="173"/>
      <c r="C123" s="167"/>
      <c r="D123" s="167"/>
      <c r="E123" s="167"/>
      <c r="F123" s="167"/>
      <c r="G123" s="167"/>
      <c r="H123" s="167"/>
      <c r="I123" s="167"/>
      <c r="J123" s="192"/>
    </row>
    <row r="124" spans="1:15" x14ac:dyDescent="0.25">
      <c r="A124" s="175"/>
      <c r="B124" s="176"/>
      <c r="C124" s="167"/>
      <c r="D124" s="167"/>
      <c r="E124" s="167"/>
      <c r="F124" s="167"/>
      <c r="G124" s="167"/>
      <c r="H124" s="167"/>
      <c r="I124" s="167"/>
      <c r="J124" s="192"/>
    </row>
    <row r="125" spans="1:15" x14ac:dyDescent="0.25">
      <c r="A125" s="121"/>
      <c r="B125" s="93"/>
      <c r="C125" s="93"/>
      <c r="D125" s="93"/>
      <c r="E125" s="93"/>
      <c r="F125" s="93"/>
      <c r="G125" s="93"/>
      <c r="H125" s="93"/>
      <c r="I125" s="93"/>
      <c r="J125" s="192"/>
    </row>
    <row r="126" spans="1:15" x14ac:dyDescent="0.25">
      <c r="A126" s="120"/>
      <c r="B126" s="94"/>
      <c r="C126" s="198"/>
      <c r="D126" s="94"/>
      <c r="E126" s="94"/>
      <c r="F126" s="94"/>
      <c r="G126" s="94"/>
      <c r="H126" s="94"/>
      <c r="I126" s="98"/>
      <c r="J126" s="192"/>
    </row>
    <row r="127" spans="1:15" x14ac:dyDescent="0.25">
      <c r="A127" s="96"/>
      <c r="B127" s="94"/>
      <c r="C127" s="111"/>
      <c r="D127" s="111"/>
      <c r="E127" s="111"/>
      <c r="F127" s="111"/>
      <c r="G127" s="111"/>
      <c r="H127" s="111"/>
      <c r="I127" s="112"/>
      <c r="J127" s="192"/>
      <c r="K127" s="30"/>
      <c r="L127" s="30"/>
      <c r="M127" s="30"/>
      <c r="N127" s="30"/>
      <c r="O127" s="30"/>
    </row>
    <row r="128" spans="1:15" x14ac:dyDescent="0.25">
      <c r="A128" s="96"/>
      <c r="B128" s="94"/>
      <c r="C128" s="111"/>
      <c r="D128" s="111"/>
      <c r="E128" s="111"/>
      <c r="F128" s="111"/>
      <c r="G128" s="111"/>
      <c r="H128" s="111"/>
      <c r="I128" s="112"/>
      <c r="J128" s="192"/>
    </row>
    <row r="129" spans="1:15" x14ac:dyDescent="0.25">
      <c r="A129" s="96"/>
      <c r="B129" s="94"/>
      <c r="C129" s="111"/>
      <c r="D129" s="111"/>
      <c r="E129" s="111"/>
      <c r="F129" s="111"/>
      <c r="G129" s="111"/>
      <c r="H129" s="111"/>
      <c r="I129" s="112"/>
      <c r="J129" s="192"/>
      <c r="K129" s="30"/>
      <c r="L129" s="30"/>
      <c r="M129" s="30"/>
      <c r="N129" s="30"/>
      <c r="O129" s="30"/>
    </row>
    <row r="130" spans="1:15" x14ac:dyDescent="0.25">
      <c r="A130" s="120"/>
      <c r="B130" s="94"/>
      <c r="C130" s="113"/>
      <c r="D130" s="113"/>
      <c r="E130" s="113"/>
      <c r="F130" s="113"/>
      <c r="G130" s="113"/>
      <c r="H130" s="113"/>
      <c r="I130" s="114"/>
      <c r="J130" s="192"/>
    </row>
    <row r="131" spans="1:15" x14ac:dyDescent="0.25">
      <c r="A131" s="120"/>
      <c r="B131" s="94"/>
      <c r="C131" s="113"/>
      <c r="D131" s="113"/>
      <c r="E131" s="113"/>
      <c r="F131" s="113"/>
      <c r="G131" s="113"/>
      <c r="H131" s="113"/>
      <c r="I131" s="114"/>
      <c r="J131" s="192"/>
      <c r="K131" s="30"/>
      <c r="L131" s="30"/>
      <c r="M131" s="30"/>
      <c r="N131" s="30"/>
      <c r="O131" s="30"/>
    </row>
    <row r="132" spans="1:15" x14ac:dyDescent="0.25">
      <c r="A132" s="120"/>
      <c r="B132" s="94"/>
      <c r="C132" s="113"/>
      <c r="D132" s="113"/>
      <c r="E132" s="113"/>
      <c r="F132" s="113"/>
      <c r="G132" s="113"/>
      <c r="H132" s="113"/>
      <c r="I132" s="114"/>
      <c r="J132" s="192"/>
      <c r="K132" s="30"/>
      <c r="L132" s="30"/>
      <c r="M132" s="30"/>
      <c r="N132" s="30"/>
      <c r="O132" s="30"/>
    </row>
    <row r="133" spans="1:15" x14ac:dyDescent="0.25">
      <c r="A133" s="96"/>
      <c r="B133" s="95"/>
      <c r="C133" s="99"/>
      <c r="D133" s="99"/>
      <c r="E133" s="99"/>
      <c r="F133" s="99"/>
      <c r="G133" s="99"/>
      <c r="H133" s="99"/>
      <c r="I133" s="105"/>
      <c r="J133" s="192"/>
      <c r="K133" s="30"/>
      <c r="L133" s="30"/>
      <c r="M133" s="30"/>
      <c r="N133" s="30"/>
      <c r="O133" s="30"/>
    </row>
    <row r="134" spans="1:15" x14ac:dyDescent="0.25">
      <c r="A134" s="96"/>
      <c r="B134" s="95"/>
      <c r="C134" s="99"/>
      <c r="D134" s="99"/>
      <c r="E134" s="99"/>
      <c r="F134" s="99"/>
      <c r="G134" s="99"/>
      <c r="H134" s="99"/>
      <c r="I134" s="105"/>
      <c r="J134" s="192"/>
      <c r="K134" s="30"/>
      <c r="L134" s="30"/>
      <c r="M134" s="30"/>
      <c r="N134" s="30"/>
      <c r="O134" s="30"/>
    </row>
    <row r="135" spans="1:15" x14ac:dyDescent="0.25">
      <c r="A135" s="96"/>
      <c r="B135" s="95"/>
      <c r="C135" s="99"/>
      <c r="D135" s="99"/>
      <c r="E135" s="99"/>
      <c r="F135" s="99"/>
      <c r="G135" s="99"/>
      <c r="H135" s="99"/>
      <c r="I135" s="105"/>
      <c r="J135" s="192"/>
      <c r="K135" s="30"/>
      <c r="L135" s="30"/>
      <c r="M135" s="30"/>
      <c r="N135" s="30"/>
      <c r="O135" s="30"/>
    </row>
    <row r="136" spans="1:15" x14ac:dyDescent="0.25">
      <c r="A136" s="120"/>
      <c r="B136" s="95"/>
      <c r="C136" s="104"/>
      <c r="D136" s="104"/>
      <c r="E136" s="104"/>
      <c r="F136" s="104"/>
      <c r="G136" s="104"/>
      <c r="H136" s="104"/>
      <c r="I136" s="100"/>
      <c r="J136" s="192"/>
      <c r="K136" s="30"/>
      <c r="L136" s="30"/>
      <c r="M136" s="30"/>
      <c r="N136" s="30"/>
      <c r="O136" s="30"/>
    </row>
    <row r="137" spans="1:15" x14ac:dyDescent="0.25">
      <c r="A137" s="121"/>
      <c r="B137" s="94"/>
      <c r="C137" s="113"/>
      <c r="D137" s="113"/>
      <c r="E137" s="113"/>
      <c r="F137" s="113"/>
      <c r="G137" s="113"/>
      <c r="H137" s="113"/>
      <c r="I137" s="114"/>
      <c r="J137" s="192"/>
      <c r="K137" s="30"/>
      <c r="L137" s="30"/>
      <c r="M137" s="30"/>
      <c r="N137" s="30"/>
      <c r="O137" s="30"/>
    </row>
    <row r="138" spans="1:15" x14ac:dyDescent="0.25">
      <c r="A138" s="120"/>
      <c r="B138" s="94"/>
      <c r="C138" s="94"/>
      <c r="D138" s="94"/>
      <c r="E138" s="94"/>
      <c r="F138" s="94"/>
      <c r="G138" s="94"/>
      <c r="H138" s="94"/>
      <c r="I138" s="98"/>
      <c r="J138" s="192"/>
      <c r="K138" s="30"/>
      <c r="L138" s="30"/>
      <c r="M138" s="30"/>
      <c r="N138" s="30"/>
      <c r="O138" s="30"/>
    </row>
    <row r="139" spans="1:15" x14ac:dyDescent="0.25">
      <c r="A139" s="96"/>
      <c r="B139" s="94"/>
      <c r="C139" s="111"/>
      <c r="D139" s="111"/>
      <c r="E139" s="111"/>
      <c r="F139" s="111"/>
      <c r="G139" s="111"/>
      <c r="H139" s="111"/>
      <c r="I139" s="112"/>
      <c r="J139" s="192"/>
      <c r="K139" s="30"/>
      <c r="L139" s="30"/>
      <c r="M139" s="30"/>
      <c r="N139" s="30"/>
      <c r="O139" s="30"/>
    </row>
    <row r="140" spans="1:15" x14ac:dyDescent="0.25">
      <c r="A140" s="96"/>
      <c r="B140" s="94"/>
      <c r="C140" s="111"/>
      <c r="D140" s="111"/>
      <c r="E140" s="111"/>
      <c r="F140" s="111"/>
      <c r="G140" s="111"/>
      <c r="H140" s="111"/>
      <c r="I140" s="112"/>
      <c r="J140" s="192"/>
      <c r="K140" s="30"/>
      <c r="L140" s="30"/>
      <c r="M140" s="30"/>
      <c r="N140" s="30"/>
      <c r="O140" s="30"/>
    </row>
    <row r="141" spans="1:15" x14ac:dyDescent="0.25">
      <c r="A141" s="96"/>
      <c r="B141" s="94"/>
      <c r="C141" s="111"/>
      <c r="D141" s="111"/>
      <c r="E141" s="111"/>
      <c r="F141" s="111"/>
      <c r="G141" s="111"/>
      <c r="H141" s="111"/>
      <c r="I141" s="112"/>
      <c r="J141" s="192"/>
      <c r="K141" s="30"/>
      <c r="L141" s="30"/>
      <c r="M141" s="30"/>
      <c r="N141" s="30"/>
      <c r="O141" s="30"/>
    </row>
    <row r="142" spans="1:15" x14ac:dyDescent="0.25">
      <c r="A142" s="120"/>
      <c r="B142" s="94"/>
      <c r="C142" s="113"/>
      <c r="D142" s="113"/>
      <c r="E142" s="113"/>
      <c r="F142" s="113"/>
      <c r="G142" s="113"/>
      <c r="H142" s="113"/>
      <c r="I142" s="114"/>
      <c r="J142" s="192"/>
      <c r="K142" s="30"/>
      <c r="L142" s="30"/>
      <c r="M142" s="30"/>
      <c r="N142" s="30"/>
      <c r="O142" s="30"/>
    </row>
    <row r="143" spans="1:15" x14ac:dyDescent="0.25">
      <c r="A143" s="121"/>
      <c r="B143" s="94"/>
      <c r="C143" s="113"/>
      <c r="D143" s="113"/>
      <c r="E143" s="113"/>
      <c r="F143" s="113"/>
      <c r="G143" s="113"/>
      <c r="H143" s="113"/>
      <c r="I143" s="114"/>
      <c r="J143" s="192"/>
      <c r="K143" s="30"/>
      <c r="L143" s="30"/>
      <c r="M143" s="30"/>
      <c r="N143" s="30"/>
      <c r="O143" s="30"/>
    </row>
    <row r="144" spans="1:15" x14ac:dyDescent="0.25">
      <c r="A144" s="120"/>
      <c r="B144" s="94"/>
      <c r="C144" s="113"/>
      <c r="D144" s="113"/>
      <c r="E144" s="113"/>
      <c r="F144" s="113"/>
      <c r="G144" s="113"/>
      <c r="H144" s="113"/>
      <c r="I144" s="114"/>
      <c r="J144" s="192"/>
      <c r="K144" s="30"/>
      <c r="L144" s="30"/>
      <c r="M144" s="30"/>
      <c r="N144" s="30"/>
      <c r="O144" s="30"/>
    </row>
    <row r="145" spans="1:15" x14ac:dyDescent="0.25">
      <c r="A145" s="96"/>
      <c r="B145" s="95"/>
      <c r="C145" s="99"/>
      <c r="D145" s="99"/>
      <c r="E145" s="99"/>
      <c r="F145" s="99"/>
      <c r="G145" s="99"/>
      <c r="H145" s="99"/>
      <c r="I145" s="105"/>
      <c r="J145" s="192"/>
      <c r="K145" s="30"/>
      <c r="L145" s="30"/>
      <c r="M145" s="30"/>
      <c r="N145" s="30"/>
      <c r="O145" s="30"/>
    </row>
    <row r="146" spans="1:15" x14ac:dyDescent="0.25">
      <c r="A146" s="96"/>
      <c r="B146" s="95"/>
      <c r="C146" s="99"/>
      <c r="D146" s="99"/>
      <c r="E146" s="99"/>
      <c r="F146" s="99"/>
      <c r="G146" s="99"/>
      <c r="H146" s="99"/>
      <c r="I146" s="105"/>
      <c r="J146" s="192"/>
      <c r="K146" s="30"/>
      <c r="L146" s="30"/>
      <c r="M146" s="30"/>
      <c r="N146" s="30"/>
      <c r="O146" s="30"/>
    </row>
    <row r="147" spans="1:15" x14ac:dyDescent="0.25">
      <c r="A147" s="96"/>
      <c r="B147" s="95"/>
      <c r="C147" s="99"/>
      <c r="D147" s="99"/>
      <c r="E147" s="99"/>
      <c r="F147" s="99"/>
      <c r="G147" s="99"/>
      <c r="H147" s="99"/>
      <c r="I147" s="105"/>
      <c r="J147" s="192"/>
      <c r="K147" s="30"/>
      <c r="L147" s="30"/>
      <c r="M147" s="30"/>
      <c r="N147" s="30"/>
      <c r="O147" s="30"/>
    </row>
    <row r="148" spans="1:15" x14ac:dyDescent="0.25">
      <c r="A148" s="120"/>
      <c r="B148" s="95"/>
      <c r="C148" s="104"/>
      <c r="D148" s="104"/>
      <c r="E148" s="104"/>
      <c r="F148" s="104"/>
      <c r="G148" s="104"/>
      <c r="H148" s="104"/>
      <c r="I148" s="100"/>
      <c r="J148" s="192"/>
      <c r="K148" s="30"/>
      <c r="L148" s="30"/>
      <c r="M148" s="30"/>
      <c r="N148" s="30"/>
      <c r="O148" s="30"/>
    </row>
    <row r="149" spans="1:15" x14ac:dyDescent="0.25">
      <c r="A149" s="121"/>
      <c r="B149" s="95"/>
      <c r="C149" s="104"/>
      <c r="D149" s="104"/>
      <c r="E149" s="104"/>
      <c r="F149" s="104"/>
      <c r="G149" s="104"/>
      <c r="H149" s="104"/>
      <c r="I149" s="100"/>
      <c r="K149" s="30"/>
      <c r="L149" s="30"/>
      <c r="M149" s="30"/>
      <c r="N149" s="30"/>
      <c r="O149" s="30"/>
    </row>
    <row r="150" spans="1:15" x14ac:dyDescent="0.25">
      <c r="A150" s="120"/>
      <c r="B150" s="94"/>
      <c r="C150" s="94"/>
      <c r="D150" s="94"/>
      <c r="E150" s="94"/>
      <c r="F150" s="94"/>
      <c r="G150" s="94"/>
      <c r="H150" s="94"/>
      <c r="I150" s="98"/>
    </row>
    <row r="151" spans="1:15" x14ac:dyDescent="0.25">
      <c r="A151" s="96"/>
      <c r="B151" s="94"/>
      <c r="C151" s="111"/>
      <c r="D151" s="111"/>
      <c r="E151" s="111"/>
      <c r="F151" s="111"/>
      <c r="G151" s="111"/>
      <c r="H151" s="111"/>
      <c r="I151" s="112"/>
    </row>
    <row r="152" spans="1:15" x14ac:dyDescent="0.25">
      <c r="A152" s="96"/>
      <c r="B152" s="94"/>
      <c r="C152" s="111"/>
      <c r="D152" s="111"/>
      <c r="E152" s="111"/>
      <c r="F152" s="111"/>
      <c r="G152" s="111"/>
      <c r="H152" s="111"/>
      <c r="I152" s="112"/>
    </row>
    <row r="153" spans="1:15" x14ac:dyDescent="0.25">
      <c r="A153" s="96"/>
      <c r="B153" s="94"/>
      <c r="C153" s="111"/>
      <c r="D153" s="111"/>
      <c r="E153" s="111"/>
      <c r="F153" s="111"/>
      <c r="G153" s="111"/>
      <c r="H153" s="111"/>
      <c r="I153" s="112"/>
    </row>
    <row r="154" spans="1:15" x14ac:dyDescent="0.25">
      <c r="A154" s="120"/>
      <c r="B154" s="94"/>
      <c r="C154" s="113"/>
      <c r="D154" s="113"/>
      <c r="E154" s="113"/>
      <c r="F154" s="113"/>
      <c r="G154" s="113"/>
      <c r="H154" s="113"/>
      <c r="I154" s="114"/>
    </row>
    <row r="155" spans="1:15" x14ac:dyDescent="0.25">
      <c r="A155" s="121"/>
      <c r="B155" s="94"/>
      <c r="C155" s="113"/>
      <c r="D155" s="113"/>
      <c r="E155" s="113"/>
      <c r="F155" s="113"/>
      <c r="G155" s="113"/>
      <c r="H155" s="113"/>
      <c r="I155" s="114"/>
    </row>
    <row r="156" spans="1:15" x14ac:dyDescent="0.25">
      <c r="A156" s="96"/>
      <c r="B156" s="95"/>
      <c r="C156" s="99"/>
      <c r="D156" s="99"/>
      <c r="E156" s="99"/>
      <c r="F156" s="99"/>
      <c r="G156" s="99"/>
      <c r="H156" s="99"/>
      <c r="I156" s="105"/>
    </row>
    <row r="157" spans="1:15" x14ac:dyDescent="0.25">
      <c r="A157" s="96"/>
      <c r="B157" s="95"/>
      <c r="C157" s="99"/>
      <c r="D157" s="99"/>
      <c r="E157" s="99"/>
      <c r="F157" s="99"/>
      <c r="G157" s="99"/>
      <c r="H157" s="99"/>
      <c r="I157" s="105"/>
    </row>
    <row r="158" spans="1:15" x14ac:dyDescent="0.25">
      <c r="A158" s="96"/>
      <c r="B158" s="95"/>
      <c r="C158" s="99"/>
      <c r="D158" s="99"/>
      <c r="E158" s="99"/>
      <c r="F158" s="99"/>
      <c r="G158" s="99"/>
      <c r="H158" s="99"/>
      <c r="I158" s="105"/>
    </row>
    <row r="159" spans="1:15" x14ac:dyDescent="0.25">
      <c r="A159" s="120"/>
      <c r="B159" s="95"/>
      <c r="C159" s="104"/>
      <c r="D159" s="104"/>
      <c r="E159" s="104"/>
      <c r="F159" s="104"/>
      <c r="G159" s="104"/>
      <c r="H159" s="104"/>
      <c r="I159" s="100"/>
    </row>
    <row r="160" spans="1:15" x14ac:dyDescent="0.25">
      <c r="A160" s="103"/>
      <c r="B160" s="95"/>
      <c r="C160" s="104"/>
      <c r="D160" s="104"/>
      <c r="E160" s="104"/>
      <c r="F160" s="104"/>
      <c r="G160" s="104"/>
      <c r="H160" s="104"/>
      <c r="I160" s="100"/>
    </row>
    <row r="161" spans="1:9" ht="15.75" thickBot="1" x14ac:dyDescent="0.3">
      <c r="A161" s="115"/>
      <c r="B161" s="116"/>
      <c r="C161" s="117"/>
      <c r="D161" s="117"/>
      <c r="E161" s="117"/>
      <c r="F161" s="117"/>
      <c r="G161" s="117"/>
      <c r="H161" s="117"/>
      <c r="I161" s="118"/>
    </row>
  </sheetData>
  <mergeCells count="1">
    <mergeCell ref="A22:A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758C-0E0D-4D5C-B077-07E8FAC112FF}">
  <dimension ref="A1:L22"/>
  <sheetViews>
    <sheetView topLeftCell="A4" workbookViewId="0">
      <selection activeCell="B5" sqref="B5:K22"/>
    </sheetView>
  </sheetViews>
  <sheetFormatPr defaultRowHeight="15" x14ac:dyDescent="0.25"/>
  <cols>
    <col min="1" max="1" width="29.85546875" customWidth="1"/>
  </cols>
  <sheetData>
    <row r="1" spans="1:12" s="6" customFormat="1" ht="18.75" x14ac:dyDescent="0.3">
      <c r="D1" s="21" t="s">
        <v>334</v>
      </c>
    </row>
    <row r="5" spans="1:12" x14ac:dyDescent="0.25">
      <c r="B5" s="301">
        <v>2023</v>
      </c>
      <c r="C5" s="208" t="s">
        <v>335</v>
      </c>
      <c r="D5" s="208">
        <v>2030</v>
      </c>
      <c r="E5" s="208">
        <v>2035</v>
      </c>
      <c r="F5" s="208">
        <v>2040</v>
      </c>
      <c r="G5" s="208">
        <v>2045</v>
      </c>
      <c r="H5" s="208">
        <v>2050</v>
      </c>
      <c r="I5" s="208">
        <v>2055</v>
      </c>
      <c r="J5" s="208" t="s">
        <v>336</v>
      </c>
      <c r="K5" s="313"/>
    </row>
    <row r="6" spans="1:12" x14ac:dyDescent="0.25">
      <c r="B6" s="302"/>
      <c r="C6" s="303"/>
      <c r="D6" s="303"/>
      <c r="E6" s="303"/>
      <c r="F6" s="303"/>
      <c r="G6" s="303"/>
      <c r="H6" s="303"/>
      <c r="I6" s="303"/>
      <c r="J6" s="303"/>
      <c r="K6" s="314"/>
    </row>
    <row r="7" spans="1:12" x14ac:dyDescent="0.25">
      <c r="B7" s="302"/>
      <c r="C7" s="436" t="s">
        <v>337</v>
      </c>
      <c r="D7" s="436"/>
      <c r="E7" s="436"/>
      <c r="F7" s="436"/>
      <c r="G7" s="436"/>
      <c r="H7" s="436"/>
      <c r="I7" s="436"/>
      <c r="J7" s="436"/>
      <c r="K7" s="314" t="s">
        <v>338</v>
      </c>
    </row>
    <row r="8" spans="1:12" x14ac:dyDescent="0.25">
      <c r="B8" s="302"/>
      <c r="C8" s="303">
        <v>61</v>
      </c>
      <c r="D8" s="303">
        <v>71</v>
      </c>
      <c r="E8" s="303">
        <v>76</v>
      </c>
      <c r="F8" s="303">
        <v>81</v>
      </c>
      <c r="G8" s="303">
        <v>84</v>
      </c>
      <c r="H8" s="303">
        <v>87</v>
      </c>
      <c r="I8" s="303">
        <v>90</v>
      </c>
      <c r="J8" s="304">
        <f t="shared" ref="J8:J13" si="0">AVERAGE(C8:I8)</f>
        <v>78.571428571428569</v>
      </c>
      <c r="K8" s="314" t="s">
        <v>339</v>
      </c>
    </row>
    <row r="9" spans="1:12" x14ac:dyDescent="0.25">
      <c r="B9" s="302"/>
      <c r="C9" s="303">
        <v>51</v>
      </c>
      <c r="D9" s="303"/>
      <c r="E9" s="303"/>
      <c r="F9" s="303"/>
      <c r="G9" s="303"/>
      <c r="H9" s="303"/>
      <c r="I9" s="303"/>
      <c r="J9" s="304">
        <f t="shared" si="0"/>
        <v>51</v>
      </c>
      <c r="K9" s="314" t="s">
        <v>340</v>
      </c>
    </row>
    <row r="10" spans="1:12" x14ac:dyDescent="0.25">
      <c r="B10" s="302"/>
      <c r="C10" s="303">
        <v>58</v>
      </c>
      <c r="D10" s="303">
        <v>60</v>
      </c>
      <c r="E10" s="303">
        <v>91.35</v>
      </c>
      <c r="F10" s="303"/>
      <c r="G10" s="303"/>
      <c r="H10" s="303"/>
      <c r="I10" s="303"/>
      <c r="J10" s="304">
        <f t="shared" si="0"/>
        <v>69.783333333333331</v>
      </c>
      <c r="K10" s="314" t="s">
        <v>341</v>
      </c>
    </row>
    <row r="11" spans="1:12" x14ac:dyDescent="0.25">
      <c r="B11" s="302"/>
      <c r="C11" s="303">
        <v>60</v>
      </c>
      <c r="D11" s="303">
        <v>55</v>
      </c>
      <c r="E11" s="303">
        <v>50</v>
      </c>
      <c r="F11" s="303">
        <v>45</v>
      </c>
      <c r="G11" s="303">
        <v>40</v>
      </c>
      <c r="H11" s="303">
        <v>35</v>
      </c>
      <c r="I11" s="303">
        <v>30</v>
      </c>
      <c r="J11" s="304">
        <f t="shared" si="0"/>
        <v>45</v>
      </c>
      <c r="K11" s="314" t="s">
        <v>342</v>
      </c>
    </row>
    <row r="12" spans="1:12" x14ac:dyDescent="0.25">
      <c r="A12" t="s">
        <v>343</v>
      </c>
      <c r="B12" s="302">
        <v>83</v>
      </c>
      <c r="C12" s="303">
        <v>88.4</v>
      </c>
      <c r="D12" s="303">
        <v>91</v>
      </c>
      <c r="E12" s="303">
        <v>93.7</v>
      </c>
      <c r="F12" s="303">
        <v>96.4</v>
      </c>
      <c r="G12" s="303">
        <v>99.1</v>
      </c>
      <c r="H12" s="303">
        <v>101.8</v>
      </c>
      <c r="I12" s="303">
        <v>103</v>
      </c>
      <c r="J12" s="304">
        <f t="shared" si="0"/>
        <v>96.2</v>
      </c>
      <c r="K12" s="314" t="s">
        <v>344</v>
      </c>
    </row>
    <row r="13" spans="1:12" x14ac:dyDescent="0.25">
      <c r="B13" s="302"/>
      <c r="C13" s="305">
        <f t="shared" ref="C13:H13" si="1">AVERAGE(C8:C12)</f>
        <v>63.679999999999993</v>
      </c>
      <c r="D13" s="306">
        <f t="shared" si="1"/>
        <v>69.25</v>
      </c>
      <c r="E13" s="306">
        <f t="shared" si="1"/>
        <v>77.762500000000003</v>
      </c>
      <c r="F13" s="306">
        <f t="shared" si="1"/>
        <v>74.13333333333334</v>
      </c>
      <c r="G13" s="306">
        <f t="shared" si="1"/>
        <v>74.36666666666666</v>
      </c>
      <c r="H13" s="306">
        <f t="shared" si="1"/>
        <v>74.600000000000009</v>
      </c>
      <c r="I13" s="306">
        <f t="shared" ref="I13" si="2">AVERAGE(I8:I12)</f>
        <v>74.333333333333329</v>
      </c>
      <c r="J13" s="306">
        <f t="shared" si="0"/>
        <v>72.58940476190476</v>
      </c>
      <c r="K13" s="314"/>
    </row>
    <row r="14" spans="1:12" x14ac:dyDescent="0.25">
      <c r="A14" t="s">
        <v>345</v>
      </c>
      <c r="B14" s="302"/>
      <c r="C14" s="307">
        <f t="shared" ref="C14:J14" si="3">C13/$B12</f>
        <v>0.7672289156626505</v>
      </c>
      <c r="D14" s="307">
        <f t="shared" si="3"/>
        <v>0.83433734939759041</v>
      </c>
      <c r="E14" s="307">
        <f t="shared" si="3"/>
        <v>0.93689759036144582</v>
      </c>
      <c r="F14" s="307">
        <f t="shared" si="3"/>
        <v>0.89317269076305228</v>
      </c>
      <c r="G14" s="307">
        <f t="shared" si="3"/>
        <v>0.89598393574297186</v>
      </c>
      <c r="H14" s="307">
        <f t="shared" si="3"/>
        <v>0.89879518072289166</v>
      </c>
      <c r="I14" s="307">
        <f t="shared" ref="I14" si="4">I13/$B12</f>
        <v>0.895582329317269</v>
      </c>
      <c r="J14" s="307">
        <f t="shared" si="3"/>
        <v>0.87457114170969585</v>
      </c>
      <c r="K14" s="314"/>
    </row>
    <row r="15" spans="1:12" x14ac:dyDescent="0.25">
      <c r="B15" s="302"/>
      <c r="C15" s="305"/>
      <c r="D15" s="305"/>
      <c r="E15" s="305"/>
      <c r="F15" s="305"/>
      <c r="G15" s="305"/>
      <c r="H15" s="305"/>
      <c r="I15" s="305"/>
      <c r="J15" s="303"/>
      <c r="K15" s="315"/>
    </row>
    <row r="16" spans="1:12" x14ac:dyDescent="0.25">
      <c r="B16" s="302" t="s">
        <v>339</v>
      </c>
      <c r="C16" s="308" t="s">
        <v>346</v>
      </c>
      <c r="D16" s="309"/>
      <c r="E16" s="309"/>
      <c r="F16" s="309"/>
      <c r="G16" s="309"/>
      <c r="H16" s="309"/>
      <c r="I16" s="309"/>
      <c r="J16" s="306"/>
      <c r="K16" s="316"/>
      <c r="L16" s="12"/>
    </row>
    <row r="17" spans="2:11" x14ac:dyDescent="0.25">
      <c r="B17" s="302" t="s">
        <v>340</v>
      </c>
      <c r="C17" s="308" t="s">
        <v>347</v>
      </c>
      <c r="D17" s="303"/>
      <c r="E17" s="303"/>
      <c r="F17" s="309"/>
      <c r="G17" s="303"/>
      <c r="H17" s="303"/>
      <c r="I17" s="303"/>
      <c r="J17" s="303"/>
      <c r="K17" s="314"/>
    </row>
    <row r="18" spans="2:11" x14ac:dyDescent="0.25">
      <c r="B18" s="302" t="s">
        <v>341</v>
      </c>
      <c r="C18" s="308" t="s">
        <v>348</v>
      </c>
      <c r="D18" s="303"/>
      <c r="E18" s="303"/>
      <c r="F18" s="303"/>
      <c r="G18" s="303"/>
      <c r="H18" s="303"/>
      <c r="I18" s="303"/>
      <c r="J18" s="303"/>
      <c r="K18" s="314"/>
    </row>
    <row r="19" spans="2:11" x14ac:dyDescent="0.25">
      <c r="B19" s="302" t="s">
        <v>342</v>
      </c>
      <c r="C19" s="308" t="s">
        <v>349</v>
      </c>
      <c r="D19" s="303"/>
      <c r="E19" s="303"/>
      <c r="F19" s="303"/>
      <c r="G19" s="303"/>
      <c r="H19" s="303"/>
      <c r="I19" s="303"/>
      <c r="J19" s="303"/>
      <c r="K19" s="314"/>
    </row>
    <row r="20" spans="2:11" x14ac:dyDescent="0.25">
      <c r="B20" s="302" t="s">
        <v>344</v>
      </c>
      <c r="C20" s="308" t="s">
        <v>350</v>
      </c>
      <c r="D20" s="303"/>
      <c r="E20" s="303"/>
      <c r="F20" s="303"/>
      <c r="G20" s="303"/>
      <c r="H20" s="303"/>
      <c r="I20" s="303"/>
      <c r="J20" s="303"/>
      <c r="K20" s="314"/>
    </row>
    <row r="21" spans="2:11" x14ac:dyDescent="0.25">
      <c r="B21" s="302"/>
      <c r="C21" s="308" t="s">
        <v>351</v>
      </c>
      <c r="D21" s="303"/>
      <c r="E21" s="303"/>
      <c r="F21" s="303"/>
      <c r="G21" s="303"/>
      <c r="H21" s="303"/>
      <c r="I21" s="303"/>
      <c r="J21" s="303"/>
      <c r="K21" s="314"/>
    </row>
    <row r="22" spans="2:11" x14ac:dyDescent="0.25">
      <c r="B22" s="310"/>
      <c r="C22" s="311" t="s">
        <v>352</v>
      </c>
      <c r="D22" s="312"/>
      <c r="E22" s="312"/>
      <c r="F22" s="312"/>
      <c r="G22" s="312"/>
      <c r="H22" s="312"/>
      <c r="I22" s="312"/>
      <c r="J22" s="312"/>
      <c r="K22" s="317"/>
    </row>
  </sheetData>
  <mergeCells count="1">
    <mergeCell ref="C7:J7"/>
  </mergeCells>
  <hyperlinks>
    <hyperlink ref="C16" r:id="rId1" display="https://www.thebalancemoney.com/oil-price-forecast-3306219" xr:uid="{C6830761-8990-4D0F-98FB-5D00B47844AB}"/>
    <hyperlink ref="C20" r:id="rId2" display="https://www.eia.gov/outlooks/ieo/data/pdf/P_P1_hm_230821.151836.pdf" xr:uid="{EFBBEBB1-3375-4C0E-8BDC-144B29EC26C2}"/>
    <hyperlink ref="C21" r:id="rId3" display="https://www.macrotrends.net/2480/brent-crude-oil-prices-10-year-daily-chart" xr:uid="{96F60457-FB15-40B4-B0F0-D78E2CCF6960}"/>
    <hyperlink ref="C22" r:id="rId4" display="https://www.google.com/search?q=average+brent+crude+oil+price+2022&amp;oq=average+brent+crude+oil+price+2022&amp;gs_lcrp=EgZjaHJvbWUyBggAEEUYOTIICAEQABgWGB4yCAgCEAAYFhgeMg0IAxAAGIYDGIAEGIoFMg0IBBAAGIYDGIAEGIoFMgoIBRAAGKIEGIkFMgoIBhAAGKIEGIkF0gEINTc1OWoxajSoAgCwAgE&amp;sourceid=chrome&amp;ie=UTF-8" xr:uid="{087C1310-F14E-4F46-9C5C-D695FFB5A754}"/>
    <hyperlink ref="C19" r:id="rId5" display="https://www2.deloitte.com/content/dam/Deloitte/ca/Documents/energy-resources/ca-en-energy-resources-industrials-o-g-price-forecast-report-Q1-aoda.pdf" xr:uid="{8C1CDB92-48F4-46C9-B10B-A339F8ABBE54}"/>
    <hyperlink ref="C18" r:id="rId6" display="https://coinpriceforecast.com/oil" xr:uid="{883A36D1-1139-4327-BFB9-1E077E2E97D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B96F-0D87-4480-AD94-63F3F350221A}">
  <dimension ref="A1:AY32"/>
  <sheetViews>
    <sheetView topLeftCell="A17" workbookViewId="0">
      <selection activeCell="E32" sqref="E32"/>
    </sheetView>
  </sheetViews>
  <sheetFormatPr defaultRowHeight="15" x14ac:dyDescent="0.25"/>
  <cols>
    <col min="1" max="1" width="13.28515625" customWidth="1"/>
    <col min="2" max="2" width="11.85546875" customWidth="1"/>
    <col min="3" max="3" width="27.85546875" customWidth="1"/>
    <col min="4" max="4" width="0.140625" customWidth="1"/>
    <col min="5" max="8" width="11" customWidth="1"/>
    <col min="9" max="9" width="11.28515625" bestFit="1" customWidth="1"/>
    <col min="14" max="14" width="9.5703125" customWidth="1"/>
    <col min="15" max="15" width="12.5703125" customWidth="1"/>
  </cols>
  <sheetData>
    <row r="1" spans="1:51" s="6" customFormat="1" ht="18.75" x14ac:dyDescent="0.3">
      <c r="C1" s="21" t="s">
        <v>353</v>
      </c>
    </row>
    <row r="3" spans="1:51" ht="15" customHeight="1" x14ac:dyDescent="0.25">
      <c r="E3" s="290"/>
      <c r="F3" s="290"/>
      <c r="G3" s="290"/>
      <c r="H3" s="291"/>
      <c r="I3" s="20">
        <f>A32/1000000</f>
        <v>4.4560000000000004E-4</v>
      </c>
      <c r="J3" s="20"/>
      <c r="K3" s="20"/>
      <c r="Q3" s="20"/>
      <c r="R3" s="20"/>
      <c r="S3" s="20"/>
      <c r="T3" s="20"/>
      <c r="U3" s="20"/>
    </row>
    <row r="4" spans="1:51" x14ac:dyDescent="0.25">
      <c r="E4" s="2"/>
      <c r="F4" s="322"/>
      <c r="G4" s="322"/>
      <c r="H4" s="323"/>
      <c r="I4">
        <f>I3*1000</f>
        <v>0.44560000000000005</v>
      </c>
    </row>
    <row r="5" spans="1:51" x14ac:dyDescent="0.25">
      <c r="E5" s="2"/>
      <c r="F5" s="322"/>
      <c r="G5" s="322"/>
      <c r="H5" s="323"/>
    </row>
    <row r="6" spans="1:51" x14ac:dyDescent="0.25">
      <c r="E6" s="2" t="s">
        <v>354</v>
      </c>
      <c r="F6" s="19" t="s">
        <v>355</v>
      </c>
      <c r="G6" s="324" t="s">
        <v>338</v>
      </c>
      <c r="H6" s="325"/>
      <c r="I6" s="19">
        <v>2027</v>
      </c>
      <c r="J6" s="19">
        <f t="shared" ref="J6:AH6" si="0">I6+1</f>
        <v>2028</v>
      </c>
      <c r="K6" s="19">
        <f t="shared" si="0"/>
        <v>2029</v>
      </c>
      <c r="L6" s="19">
        <f t="shared" si="0"/>
        <v>2030</v>
      </c>
      <c r="M6" s="19">
        <f t="shared" si="0"/>
        <v>2031</v>
      </c>
      <c r="N6" s="19">
        <f t="shared" si="0"/>
        <v>2032</v>
      </c>
      <c r="O6" s="19">
        <f t="shared" si="0"/>
        <v>2033</v>
      </c>
      <c r="P6" s="19">
        <f t="shared" si="0"/>
        <v>2034</v>
      </c>
      <c r="Q6" s="19">
        <f t="shared" si="0"/>
        <v>2035</v>
      </c>
      <c r="R6" s="19">
        <f t="shared" si="0"/>
        <v>2036</v>
      </c>
      <c r="S6" s="19">
        <f t="shared" si="0"/>
        <v>2037</v>
      </c>
      <c r="T6" s="19">
        <f t="shared" si="0"/>
        <v>2038</v>
      </c>
      <c r="U6" s="19">
        <f t="shared" si="0"/>
        <v>2039</v>
      </c>
      <c r="V6" s="19">
        <f t="shared" si="0"/>
        <v>2040</v>
      </c>
      <c r="W6" s="19">
        <f t="shared" si="0"/>
        <v>2041</v>
      </c>
      <c r="X6" s="19">
        <f t="shared" si="0"/>
        <v>2042</v>
      </c>
      <c r="Y6" s="19">
        <f t="shared" si="0"/>
        <v>2043</v>
      </c>
      <c r="Z6" s="19">
        <f t="shared" si="0"/>
        <v>2044</v>
      </c>
      <c r="AA6" s="19">
        <f t="shared" si="0"/>
        <v>2045</v>
      </c>
      <c r="AB6" s="19">
        <f t="shared" si="0"/>
        <v>2046</v>
      </c>
      <c r="AC6" s="19">
        <f t="shared" si="0"/>
        <v>2047</v>
      </c>
      <c r="AD6" s="19">
        <f t="shared" si="0"/>
        <v>2048</v>
      </c>
      <c r="AE6" s="19">
        <f t="shared" si="0"/>
        <v>2049</v>
      </c>
      <c r="AF6" s="19">
        <f t="shared" si="0"/>
        <v>2050</v>
      </c>
      <c r="AG6" s="19">
        <f t="shared" si="0"/>
        <v>2051</v>
      </c>
      <c r="AH6" s="19">
        <f t="shared" si="0"/>
        <v>2052</v>
      </c>
      <c r="AI6" s="19">
        <v>2053</v>
      </c>
      <c r="AJ6" s="19"/>
      <c r="AK6" s="19"/>
      <c r="AL6" s="19"/>
      <c r="AM6" s="19"/>
      <c r="AN6" s="19"/>
    </row>
    <row r="7" spans="1:51" x14ac:dyDescent="0.25">
      <c r="A7" s="326"/>
      <c r="B7" s="318"/>
      <c r="C7" s="443"/>
      <c r="D7" s="443"/>
      <c r="E7" s="327"/>
      <c r="F7" s="328"/>
      <c r="G7" s="328"/>
      <c r="H7" s="329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7"/>
      <c r="AJ7" s="17"/>
      <c r="AK7" s="17"/>
      <c r="AL7" s="17"/>
      <c r="AM7" s="17"/>
      <c r="AN7" s="17"/>
    </row>
    <row r="8" spans="1:51" ht="15" customHeight="1" x14ac:dyDescent="0.25">
      <c r="A8" s="445" t="s">
        <v>356</v>
      </c>
      <c r="B8" s="320"/>
      <c r="C8" s="444" t="s">
        <v>357</v>
      </c>
      <c r="D8" s="444"/>
      <c r="E8" s="327"/>
      <c r="F8" s="328">
        <f t="shared" ref="F8:F21" si="1">AVERAGE(I8:AN8)</f>
        <v>235.51067728592599</v>
      </c>
      <c r="G8" s="442" t="s">
        <v>339</v>
      </c>
      <c r="H8" s="330"/>
      <c r="I8" s="16">
        <f t="shared" ref="I8:AI8" si="2">I9*$B$32</f>
        <v>88.674400000000006</v>
      </c>
      <c r="J8" s="16">
        <f t="shared" si="2"/>
        <v>96.249600000000015</v>
      </c>
      <c r="K8" s="16">
        <f t="shared" si="2"/>
        <v>103.82480000000001</v>
      </c>
      <c r="L8" s="16">
        <f t="shared" si="2"/>
        <v>111.40000000000002</v>
      </c>
      <c r="M8" s="16">
        <f t="shared" si="2"/>
        <v>123.87680000000002</v>
      </c>
      <c r="N8" s="16">
        <f t="shared" si="2"/>
        <v>136.35360000000003</v>
      </c>
      <c r="O8" s="16">
        <f t="shared" si="2"/>
        <v>148.83040000000003</v>
      </c>
      <c r="P8" s="16">
        <f t="shared" si="2"/>
        <v>161.30720000000002</v>
      </c>
      <c r="Q8" s="16">
        <f t="shared" si="2"/>
        <v>173.78400000000002</v>
      </c>
      <c r="R8" s="16">
        <f t="shared" si="2"/>
        <v>185.81520000000003</v>
      </c>
      <c r="S8" s="16">
        <f t="shared" si="2"/>
        <v>197.84640000000002</v>
      </c>
      <c r="T8" s="16">
        <f t="shared" si="2"/>
        <v>209.87760000000003</v>
      </c>
      <c r="U8" s="16">
        <f t="shared" si="2"/>
        <v>221.90880000000001</v>
      </c>
      <c r="V8" s="16">
        <f t="shared" si="2"/>
        <v>233.94000000000003</v>
      </c>
      <c r="W8" s="16">
        <f t="shared" si="2"/>
        <v>245.97120000000004</v>
      </c>
      <c r="X8" s="16">
        <f t="shared" si="2"/>
        <v>258.00240000000002</v>
      </c>
      <c r="Y8" s="16">
        <f t="shared" si="2"/>
        <v>270.03360000000004</v>
      </c>
      <c r="Z8" s="16">
        <f t="shared" si="2"/>
        <v>282.06480000000005</v>
      </c>
      <c r="AA8" s="16">
        <f t="shared" si="2"/>
        <v>294.09600000000006</v>
      </c>
      <c r="AB8" s="16">
        <f t="shared" si="2"/>
        <v>306.57280000000003</v>
      </c>
      <c r="AC8" s="16">
        <f t="shared" si="2"/>
        <v>319.04960000000005</v>
      </c>
      <c r="AD8" s="16">
        <f t="shared" si="2"/>
        <v>331.52640000000002</v>
      </c>
      <c r="AE8" s="16">
        <f t="shared" si="2"/>
        <v>344.00320000000005</v>
      </c>
      <c r="AF8" s="16">
        <f t="shared" si="2"/>
        <v>356.48</v>
      </c>
      <c r="AG8" s="16">
        <f t="shared" si="2"/>
        <v>370.73920000000004</v>
      </c>
      <c r="AH8" s="16">
        <f t="shared" si="2"/>
        <v>385.56876800000003</v>
      </c>
      <c r="AI8" s="16">
        <f t="shared" si="2"/>
        <v>400.99151872000004</v>
      </c>
      <c r="AJ8" s="16"/>
      <c r="AK8" s="16"/>
      <c r="AL8" s="16"/>
      <c r="AM8" s="16"/>
      <c r="AN8" s="16"/>
    </row>
    <row r="9" spans="1:51" x14ac:dyDescent="0.25">
      <c r="A9" s="445"/>
      <c r="B9" s="319"/>
      <c r="C9" s="327" t="s">
        <v>358</v>
      </c>
      <c r="D9" s="331"/>
      <c r="E9" s="331">
        <v>0.1</v>
      </c>
      <c r="F9" s="328">
        <f t="shared" si="1"/>
        <v>528.5248592592593</v>
      </c>
      <c r="G9" s="442"/>
      <c r="H9" s="330"/>
      <c r="I9" s="16">
        <v>199</v>
      </c>
      <c r="J9" s="16">
        <v>216</v>
      </c>
      <c r="K9" s="16">
        <v>233</v>
      </c>
      <c r="L9" s="16">
        <v>250</v>
      </c>
      <c r="M9" s="16">
        <v>278</v>
      </c>
      <c r="N9" s="16">
        <v>306</v>
      </c>
      <c r="O9" s="16">
        <v>334</v>
      </c>
      <c r="P9" s="16">
        <v>362</v>
      </c>
      <c r="Q9" s="16">
        <v>390</v>
      </c>
      <c r="R9" s="16">
        <v>417</v>
      </c>
      <c r="S9" s="16">
        <v>444</v>
      </c>
      <c r="T9" s="16">
        <v>471</v>
      </c>
      <c r="U9" s="16">
        <v>498</v>
      </c>
      <c r="V9" s="16">
        <v>525</v>
      </c>
      <c r="W9" s="16">
        <v>552</v>
      </c>
      <c r="X9" s="16">
        <v>579</v>
      </c>
      <c r="Y9" s="16">
        <v>606</v>
      </c>
      <c r="Z9" s="16">
        <v>633</v>
      </c>
      <c r="AA9" s="16">
        <v>660</v>
      </c>
      <c r="AB9" s="16">
        <v>688</v>
      </c>
      <c r="AC9" s="16">
        <v>716</v>
      </c>
      <c r="AD9" s="16">
        <v>744</v>
      </c>
      <c r="AE9" s="16">
        <v>772</v>
      </c>
      <c r="AF9" s="17">
        <v>800</v>
      </c>
      <c r="AG9" s="16">
        <f>1.04*AF9</f>
        <v>832</v>
      </c>
      <c r="AH9" s="16">
        <f>1.04*AG9</f>
        <v>865.28</v>
      </c>
      <c r="AI9" s="16">
        <f>1.04*AH9</f>
        <v>899.89120000000003</v>
      </c>
      <c r="AJ9" s="16"/>
      <c r="AK9" s="16"/>
      <c r="AL9" s="16"/>
      <c r="AM9" s="16"/>
      <c r="AN9" s="16"/>
    </row>
    <row r="10" spans="1:51" ht="15" customHeight="1" x14ac:dyDescent="0.25">
      <c r="A10" s="445" t="s">
        <v>359</v>
      </c>
      <c r="B10" s="319"/>
      <c r="C10" s="444" t="s">
        <v>357</v>
      </c>
      <c r="D10" s="444"/>
      <c r="E10" s="327"/>
      <c r="F10" s="328">
        <f t="shared" si="1"/>
        <v>52.897762900970648</v>
      </c>
      <c r="G10" s="442" t="s">
        <v>340</v>
      </c>
      <c r="H10" s="330"/>
      <c r="I10" s="16">
        <f t="shared" ref="I10:AI10" si="3">I11*$B$32</f>
        <v>31.192000000000004</v>
      </c>
      <c r="J10" s="16">
        <f t="shared" si="3"/>
        <v>31.192000000000004</v>
      </c>
      <c r="K10" s="16">
        <f t="shared" si="3"/>
        <v>31.192000000000004</v>
      </c>
      <c r="L10" s="16">
        <f t="shared" si="3"/>
        <v>31.192000000000004</v>
      </c>
      <c r="M10" s="16">
        <f t="shared" si="3"/>
        <v>32.658023999999997</v>
      </c>
      <c r="N10" s="16">
        <f t="shared" si="3"/>
        <v>34.192951127999997</v>
      </c>
      <c r="O10" s="16">
        <f t="shared" si="3"/>
        <v>35.800019831015994</v>
      </c>
      <c r="P10" s="16">
        <f t="shared" si="3"/>
        <v>37.482620763073747</v>
      </c>
      <c r="Q10" s="16">
        <f t="shared" si="3"/>
        <v>39.244303938938209</v>
      </c>
      <c r="R10" s="16">
        <f t="shared" si="3"/>
        <v>41.088786224068301</v>
      </c>
      <c r="S10" s="16">
        <f t="shared" si="3"/>
        <v>43.019959176599514</v>
      </c>
      <c r="T10" s="16">
        <f t="shared" si="3"/>
        <v>45.041897257899684</v>
      </c>
      <c r="U10" s="16">
        <f t="shared" si="3"/>
        <v>47.158866429020968</v>
      </c>
      <c r="V10" s="16">
        <f t="shared" si="3"/>
        <v>49.375333151184947</v>
      </c>
      <c r="W10" s="16">
        <f t="shared" si="3"/>
        <v>51.695973809290635</v>
      </c>
      <c r="X10" s="16">
        <f t="shared" si="3"/>
        <v>54.125684578327288</v>
      </c>
      <c r="Y10" s="16">
        <f t="shared" si="3"/>
        <v>56.669591753508669</v>
      </c>
      <c r="Z10" s="16">
        <f t="shared" si="3"/>
        <v>59.333062565923576</v>
      </c>
      <c r="AA10" s="16">
        <f t="shared" si="3"/>
        <v>62.121716506521985</v>
      </c>
      <c r="AB10" s="16">
        <f t="shared" si="3"/>
        <v>65.041437182328508</v>
      </c>
      <c r="AC10" s="16">
        <f t="shared" si="3"/>
        <v>68.098384729897944</v>
      </c>
      <c r="AD10" s="16">
        <f t="shared" si="3"/>
        <v>71.299008812203141</v>
      </c>
      <c r="AE10" s="16">
        <f t="shared" si="3"/>
        <v>74.65006222637669</v>
      </c>
      <c r="AF10" s="16">
        <f t="shared" si="3"/>
        <v>78.158615151016392</v>
      </c>
      <c r="AG10" s="16">
        <f t="shared" si="3"/>
        <v>81.832070063114145</v>
      </c>
      <c r="AH10" s="16">
        <f t="shared" si="3"/>
        <v>85.678177356080511</v>
      </c>
      <c r="AI10" s="16">
        <f t="shared" si="3"/>
        <v>89.705051691816294</v>
      </c>
      <c r="AJ10" s="16"/>
      <c r="AK10" s="16"/>
      <c r="AL10" s="16"/>
      <c r="AM10" s="16"/>
      <c r="AN10" s="16"/>
    </row>
    <row r="11" spans="1:51" x14ac:dyDescent="0.25">
      <c r="A11" s="445"/>
      <c r="B11" s="319"/>
      <c r="C11" s="327" t="s">
        <v>358</v>
      </c>
      <c r="D11" s="331"/>
      <c r="E11" s="331">
        <v>0.2</v>
      </c>
      <c r="F11" s="328">
        <f t="shared" si="1"/>
        <v>118.71131710271683</v>
      </c>
      <c r="G11" s="442"/>
      <c r="H11" s="330"/>
      <c r="I11" s="16">
        <v>70</v>
      </c>
      <c r="J11" s="16">
        <v>70</v>
      </c>
      <c r="K11" s="16">
        <v>70</v>
      </c>
      <c r="L11" s="16">
        <v>70</v>
      </c>
      <c r="M11" s="16">
        <f t="shared" ref="M11:AI11" si="4">1.047*L11</f>
        <v>73.289999999999992</v>
      </c>
      <c r="N11" s="16">
        <f t="shared" si="4"/>
        <v>76.734629999999981</v>
      </c>
      <c r="O11" s="16">
        <f t="shared" si="4"/>
        <v>80.341157609999982</v>
      </c>
      <c r="P11" s="16">
        <f t="shared" si="4"/>
        <v>84.117192017669979</v>
      </c>
      <c r="Q11" s="16">
        <f t="shared" si="4"/>
        <v>88.070700042500462</v>
      </c>
      <c r="R11" s="16">
        <f t="shared" si="4"/>
        <v>92.210022944497979</v>
      </c>
      <c r="S11" s="16">
        <f t="shared" si="4"/>
        <v>96.543894022889376</v>
      </c>
      <c r="T11" s="16">
        <f t="shared" si="4"/>
        <v>101.08145704196517</v>
      </c>
      <c r="U11" s="16">
        <f t="shared" si="4"/>
        <v>105.83228552293753</v>
      </c>
      <c r="V11" s="16">
        <f t="shared" si="4"/>
        <v>110.80640294251558</v>
      </c>
      <c r="W11" s="16">
        <f t="shared" si="4"/>
        <v>116.0143038808138</v>
      </c>
      <c r="X11" s="16">
        <f t="shared" si="4"/>
        <v>121.46697616321204</v>
      </c>
      <c r="Y11" s="16">
        <f t="shared" si="4"/>
        <v>127.175924042883</v>
      </c>
      <c r="Z11" s="16">
        <f t="shared" si="4"/>
        <v>133.1531924728985</v>
      </c>
      <c r="AA11" s="16">
        <f t="shared" si="4"/>
        <v>139.41139251912472</v>
      </c>
      <c r="AB11" s="16">
        <f t="shared" si="4"/>
        <v>145.96372796752357</v>
      </c>
      <c r="AC11" s="16">
        <f t="shared" si="4"/>
        <v>152.82402318199718</v>
      </c>
      <c r="AD11" s="16">
        <f t="shared" si="4"/>
        <v>160.00675227155102</v>
      </c>
      <c r="AE11" s="16">
        <f t="shared" si="4"/>
        <v>167.52706962831391</v>
      </c>
      <c r="AF11" s="17">
        <f t="shared" si="4"/>
        <v>175.40084190084465</v>
      </c>
      <c r="AG11" s="16">
        <f t="shared" si="4"/>
        <v>183.64468147018434</v>
      </c>
      <c r="AH11" s="16">
        <f t="shared" si="4"/>
        <v>192.27598149928298</v>
      </c>
      <c r="AI11" s="16">
        <f t="shared" si="4"/>
        <v>201.31295262974928</v>
      </c>
      <c r="AJ11" s="16"/>
      <c r="AK11" s="16"/>
      <c r="AL11" s="16"/>
      <c r="AM11" s="16"/>
      <c r="AN11" s="16"/>
    </row>
    <row r="12" spans="1:51" ht="15" customHeight="1" x14ac:dyDescent="0.25">
      <c r="A12" s="445" t="s">
        <v>360</v>
      </c>
      <c r="B12" s="319"/>
      <c r="C12" s="444" t="s">
        <v>357</v>
      </c>
      <c r="D12" s="444"/>
      <c r="E12" s="327"/>
      <c r="F12" s="328">
        <f t="shared" si="1"/>
        <v>69.04905704786826</v>
      </c>
      <c r="G12" s="442" t="s">
        <v>341</v>
      </c>
      <c r="H12" s="330"/>
      <c r="I12" s="16">
        <f t="shared" ref="I12:AI12" si="5">I13*$B$32</f>
        <v>37.876000000000005</v>
      </c>
      <c r="J12" s="16">
        <f t="shared" si="5"/>
        <v>46.788000000000004</v>
      </c>
      <c r="K12" s="16">
        <f t="shared" si="5"/>
        <v>55.70000000000001</v>
      </c>
      <c r="L12" s="16">
        <f t="shared" si="5"/>
        <v>65.057600000000008</v>
      </c>
      <c r="M12" s="16">
        <f t="shared" si="5"/>
        <v>65.610589599999997</v>
      </c>
      <c r="N12" s="16">
        <f t="shared" si="5"/>
        <v>66.168279611599999</v>
      </c>
      <c r="O12" s="16">
        <f t="shared" si="5"/>
        <v>66.730709988298599</v>
      </c>
      <c r="P12" s="16">
        <f t="shared" si="5"/>
        <v>67.297921023199123</v>
      </c>
      <c r="Q12" s="16">
        <f t="shared" si="5"/>
        <v>67.869953351896314</v>
      </c>
      <c r="R12" s="16">
        <f t="shared" si="5"/>
        <v>68.446847955387426</v>
      </c>
      <c r="S12" s="16">
        <f t="shared" si="5"/>
        <v>69.028646163008219</v>
      </c>
      <c r="T12" s="16">
        <f t="shared" si="5"/>
        <v>69.615389655393784</v>
      </c>
      <c r="U12" s="16">
        <f t="shared" si="5"/>
        <v>70.207120467464634</v>
      </c>
      <c r="V12" s="16">
        <f t="shared" si="5"/>
        <v>70.803880991438078</v>
      </c>
      <c r="W12" s="16">
        <f t="shared" si="5"/>
        <v>71.405713979865297</v>
      </c>
      <c r="X12" s="16">
        <f t="shared" si="5"/>
        <v>72.012662548694138</v>
      </c>
      <c r="Y12" s="16">
        <f t="shared" si="5"/>
        <v>72.624770180358027</v>
      </c>
      <c r="Z12" s="16">
        <f t="shared" si="5"/>
        <v>73.242080726891075</v>
      </c>
      <c r="AA12" s="16">
        <f t="shared" si="5"/>
        <v>73.864638413069642</v>
      </c>
      <c r="AB12" s="16">
        <f t="shared" si="5"/>
        <v>74.492487839580733</v>
      </c>
      <c r="AC12" s="16">
        <f t="shared" si="5"/>
        <v>75.125673986217166</v>
      </c>
      <c r="AD12" s="16">
        <f t="shared" si="5"/>
        <v>75.764242215099998</v>
      </c>
      <c r="AE12" s="16">
        <f t="shared" si="5"/>
        <v>76.408238273928347</v>
      </c>
      <c r="AF12" s="16">
        <f t="shared" si="5"/>
        <v>77.057708299256731</v>
      </c>
      <c r="AG12" s="16">
        <f t="shared" si="5"/>
        <v>77.712698819800409</v>
      </c>
      <c r="AH12" s="16">
        <f t="shared" si="5"/>
        <v>78.373256759768708</v>
      </c>
      <c r="AI12" s="16">
        <f t="shared" si="5"/>
        <v>79.039429442226748</v>
      </c>
      <c r="AJ12" s="16"/>
      <c r="AK12" s="16"/>
      <c r="AL12" s="16"/>
      <c r="AM12" s="16"/>
      <c r="AN12" s="16"/>
    </row>
    <row r="13" spans="1:51" x14ac:dyDescent="0.25">
      <c r="A13" s="445"/>
      <c r="B13" s="319"/>
      <c r="C13" s="327" t="s">
        <v>358</v>
      </c>
      <c r="D13" s="331"/>
      <c r="E13" s="331">
        <v>0.2</v>
      </c>
      <c r="F13" s="328">
        <f t="shared" si="1"/>
        <v>154.95748888659844</v>
      </c>
      <c r="G13" s="442"/>
      <c r="H13" s="330"/>
      <c r="I13" s="16">
        <v>85</v>
      </c>
      <c r="J13" s="16">
        <v>105</v>
      </c>
      <c r="K13" s="16">
        <v>125</v>
      </c>
      <c r="L13" s="16">
        <v>146</v>
      </c>
      <c r="M13" s="16">
        <f t="shared" ref="M13:AI13" si="6">1.0085*L13</f>
        <v>147.24099999999999</v>
      </c>
      <c r="N13" s="16">
        <f t="shared" si="6"/>
        <v>148.49254849999997</v>
      </c>
      <c r="O13" s="16">
        <f t="shared" si="6"/>
        <v>149.75473516224997</v>
      </c>
      <c r="P13" s="16">
        <f t="shared" si="6"/>
        <v>151.02765041112909</v>
      </c>
      <c r="Q13" s="16">
        <f t="shared" si="6"/>
        <v>152.31138543962368</v>
      </c>
      <c r="R13" s="16">
        <f t="shared" si="6"/>
        <v>153.60603221586047</v>
      </c>
      <c r="S13" s="16">
        <f t="shared" si="6"/>
        <v>154.91168348969526</v>
      </c>
      <c r="T13" s="16">
        <f t="shared" si="6"/>
        <v>156.22843279935768</v>
      </c>
      <c r="U13" s="16">
        <f t="shared" si="6"/>
        <v>157.55637447815221</v>
      </c>
      <c r="V13" s="16">
        <f t="shared" si="6"/>
        <v>158.89560366121648</v>
      </c>
      <c r="W13" s="16">
        <f t="shared" si="6"/>
        <v>160.24621629233681</v>
      </c>
      <c r="X13" s="16">
        <f t="shared" si="6"/>
        <v>161.60830913082165</v>
      </c>
      <c r="Y13" s="16">
        <f t="shared" si="6"/>
        <v>162.98197975843362</v>
      </c>
      <c r="Z13" s="16">
        <f t="shared" si="6"/>
        <v>164.3673265863803</v>
      </c>
      <c r="AA13" s="16">
        <f t="shared" si="6"/>
        <v>165.76444886236453</v>
      </c>
      <c r="AB13" s="16">
        <f t="shared" si="6"/>
        <v>167.17344667769461</v>
      </c>
      <c r="AC13" s="16">
        <f t="shared" si="6"/>
        <v>168.59442097445501</v>
      </c>
      <c r="AD13" s="16">
        <f t="shared" si="6"/>
        <v>170.02747355273786</v>
      </c>
      <c r="AE13" s="16">
        <f t="shared" si="6"/>
        <v>171.47270707793612</v>
      </c>
      <c r="AF13" s="17">
        <f t="shared" si="6"/>
        <v>172.93022508809858</v>
      </c>
      <c r="AG13" s="16">
        <f t="shared" si="6"/>
        <v>174.4001320013474</v>
      </c>
      <c r="AH13" s="16">
        <f t="shared" si="6"/>
        <v>175.88253312335885</v>
      </c>
      <c r="AI13" s="16">
        <f t="shared" si="6"/>
        <v>177.37753465490741</v>
      </c>
      <c r="AJ13" s="16"/>
      <c r="AK13" s="16"/>
      <c r="AL13" s="16"/>
      <c r="AM13" s="16"/>
      <c r="AN13" s="16"/>
    </row>
    <row r="14" spans="1:51" ht="15" customHeight="1" x14ac:dyDescent="0.25">
      <c r="A14" s="445" t="s">
        <v>361</v>
      </c>
      <c r="B14" s="319"/>
      <c r="C14" s="444" t="s">
        <v>357</v>
      </c>
      <c r="D14" s="444"/>
      <c r="E14" s="327"/>
      <c r="F14" s="328">
        <f t="shared" si="1"/>
        <v>100.26000000000002</v>
      </c>
      <c r="G14" s="442" t="s">
        <v>342</v>
      </c>
      <c r="H14" s="330"/>
      <c r="I14" s="16">
        <f t="shared" ref="I14:AI14" si="7">I15*$B$32</f>
        <v>42.332000000000008</v>
      </c>
      <c r="J14" s="16">
        <f t="shared" si="7"/>
        <v>46.788000000000004</v>
      </c>
      <c r="K14" s="16">
        <f t="shared" si="7"/>
        <v>51.244000000000007</v>
      </c>
      <c r="L14" s="16">
        <f t="shared" si="7"/>
        <v>55.70000000000001</v>
      </c>
      <c r="M14" s="16">
        <f t="shared" si="7"/>
        <v>60.156000000000006</v>
      </c>
      <c r="N14" s="16">
        <f t="shared" si="7"/>
        <v>64.612000000000009</v>
      </c>
      <c r="O14" s="16">
        <f t="shared" si="7"/>
        <v>69.068000000000012</v>
      </c>
      <c r="P14" s="16">
        <f t="shared" si="7"/>
        <v>73.524000000000015</v>
      </c>
      <c r="Q14" s="16">
        <f t="shared" si="7"/>
        <v>77.98</v>
      </c>
      <c r="R14" s="16">
        <f t="shared" si="7"/>
        <v>82.436000000000007</v>
      </c>
      <c r="S14" s="16">
        <f t="shared" si="7"/>
        <v>86.89200000000001</v>
      </c>
      <c r="T14" s="16">
        <f t="shared" si="7"/>
        <v>91.348000000000013</v>
      </c>
      <c r="U14" s="16">
        <f t="shared" si="7"/>
        <v>95.804000000000016</v>
      </c>
      <c r="V14" s="16">
        <f t="shared" si="7"/>
        <v>100.26</v>
      </c>
      <c r="W14" s="16">
        <f t="shared" si="7"/>
        <v>104.71600000000001</v>
      </c>
      <c r="X14" s="16">
        <f t="shared" si="7"/>
        <v>109.17200000000001</v>
      </c>
      <c r="Y14" s="16">
        <f t="shared" si="7"/>
        <v>113.62800000000001</v>
      </c>
      <c r="Z14" s="16">
        <f t="shared" si="7"/>
        <v>118.08400000000002</v>
      </c>
      <c r="AA14" s="16">
        <f t="shared" si="7"/>
        <v>122.54000000000002</v>
      </c>
      <c r="AB14" s="16">
        <f t="shared" si="7"/>
        <v>126.99600000000001</v>
      </c>
      <c r="AC14" s="16">
        <f t="shared" si="7"/>
        <v>131.45200000000003</v>
      </c>
      <c r="AD14" s="16">
        <f t="shared" si="7"/>
        <v>135.90800000000002</v>
      </c>
      <c r="AE14" s="16">
        <f t="shared" si="7"/>
        <v>140.364</v>
      </c>
      <c r="AF14" s="18">
        <f t="shared" si="7"/>
        <v>144.82000000000002</v>
      </c>
      <c r="AG14" s="16">
        <f t="shared" si="7"/>
        <v>149.27600000000001</v>
      </c>
      <c r="AH14" s="16">
        <f t="shared" si="7"/>
        <v>153.73200000000003</v>
      </c>
      <c r="AI14" s="16">
        <f t="shared" si="7"/>
        <v>158.18800000000002</v>
      </c>
      <c r="AJ14" s="16"/>
      <c r="AK14" s="16"/>
      <c r="AL14" s="16"/>
      <c r="AM14" s="16"/>
      <c r="AN14" s="16"/>
    </row>
    <row r="15" spans="1:51" x14ac:dyDescent="0.25">
      <c r="A15" s="445"/>
      <c r="B15" s="319"/>
      <c r="C15" s="327" t="s">
        <v>358</v>
      </c>
      <c r="D15" s="331"/>
      <c r="E15" s="331">
        <v>0.2</v>
      </c>
      <c r="F15" s="328">
        <f t="shared" si="1"/>
        <v>225</v>
      </c>
      <c r="G15" s="442"/>
      <c r="H15" s="330"/>
      <c r="I15" s="16">
        <f t="shared" ref="I15:J15" si="8">J15-10</f>
        <v>95</v>
      </c>
      <c r="J15" s="16">
        <f t="shared" si="8"/>
        <v>105</v>
      </c>
      <c r="K15" s="16">
        <f>L15-10</f>
        <v>115</v>
      </c>
      <c r="L15" s="16">
        <v>125</v>
      </c>
      <c r="M15" s="16">
        <f>L15+10</f>
        <v>135</v>
      </c>
      <c r="N15" s="16">
        <f t="shared" ref="N15:AI15" si="9">M15+10</f>
        <v>145</v>
      </c>
      <c r="O15" s="16">
        <f t="shared" si="9"/>
        <v>155</v>
      </c>
      <c r="P15" s="16">
        <f t="shared" si="9"/>
        <v>165</v>
      </c>
      <c r="Q15" s="16">
        <f t="shared" si="9"/>
        <v>175</v>
      </c>
      <c r="R15" s="16">
        <f t="shared" si="9"/>
        <v>185</v>
      </c>
      <c r="S15" s="16">
        <f t="shared" si="9"/>
        <v>195</v>
      </c>
      <c r="T15" s="16">
        <f t="shared" si="9"/>
        <v>205</v>
      </c>
      <c r="U15" s="16">
        <f t="shared" si="9"/>
        <v>215</v>
      </c>
      <c r="V15" s="16">
        <f t="shared" si="9"/>
        <v>225</v>
      </c>
      <c r="W15" s="16">
        <f t="shared" si="9"/>
        <v>235</v>
      </c>
      <c r="X15" s="16">
        <f t="shared" si="9"/>
        <v>245</v>
      </c>
      <c r="Y15" s="16">
        <f t="shared" si="9"/>
        <v>255</v>
      </c>
      <c r="Z15" s="16">
        <f t="shared" si="9"/>
        <v>265</v>
      </c>
      <c r="AA15" s="16">
        <f t="shared" si="9"/>
        <v>275</v>
      </c>
      <c r="AB15" s="16">
        <f t="shared" si="9"/>
        <v>285</v>
      </c>
      <c r="AC15" s="16">
        <f t="shared" si="9"/>
        <v>295</v>
      </c>
      <c r="AD15" s="16">
        <f t="shared" si="9"/>
        <v>305</v>
      </c>
      <c r="AE15" s="16">
        <f t="shared" si="9"/>
        <v>315</v>
      </c>
      <c r="AF15" s="16">
        <f t="shared" si="9"/>
        <v>325</v>
      </c>
      <c r="AG15" s="16">
        <f t="shared" si="9"/>
        <v>335</v>
      </c>
      <c r="AH15" s="16">
        <f t="shared" si="9"/>
        <v>345</v>
      </c>
      <c r="AI15" s="16">
        <f t="shared" si="9"/>
        <v>355</v>
      </c>
      <c r="AJ15" s="16"/>
      <c r="AK15" s="16"/>
      <c r="AL15" s="16"/>
      <c r="AM15" s="16"/>
      <c r="AN15" s="16"/>
      <c r="AY15" t="s">
        <v>362</v>
      </c>
    </row>
    <row r="16" spans="1:51" ht="15" customHeight="1" x14ac:dyDescent="0.25">
      <c r="A16" s="445" t="s">
        <v>363</v>
      </c>
      <c r="B16" s="319"/>
      <c r="C16" s="444" t="s">
        <v>357</v>
      </c>
      <c r="D16" s="444"/>
      <c r="E16" s="327"/>
      <c r="F16" s="328">
        <f t="shared" si="1"/>
        <v>74.913775170638786</v>
      </c>
      <c r="G16" s="442" t="s">
        <v>344</v>
      </c>
      <c r="H16" s="330"/>
      <c r="I16" s="16">
        <f t="shared" ref="I16:AI16" si="10">I17*$B$32</f>
        <v>31.281120000000005</v>
      </c>
      <c r="J16" s="16">
        <f t="shared" si="10"/>
        <v>31.370240000000006</v>
      </c>
      <c r="K16" s="16">
        <f t="shared" si="10"/>
        <v>32.573360000000001</v>
      </c>
      <c r="L16" s="16">
        <f t="shared" si="10"/>
        <v>35.202400000000004</v>
      </c>
      <c r="M16" s="16">
        <f t="shared" si="10"/>
        <v>37.296720000000008</v>
      </c>
      <c r="N16" s="16">
        <f t="shared" si="10"/>
        <v>39.569280000000006</v>
      </c>
      <c r="O16" s="16">
        <f t="shared" si="10"/>
        <v>42.51024000000001</v>
      </c>
      <c r="P16" s="16">
        <f t="shared" si="10"/>
        <v>46.297840000000008</v>
      </c>
      <c r="Q16" s="16">
        <f t="shared" si="10"/>
        <v>50.932080000000006</v>
      </c>
      <c r="R16" s="16">
        <f t="shared" si="10"/>
        <v>56.457520000000009</v>
      </c>
      <c r="S16" s="16">
        <f t="shared" si="10"/>
        <v>62.651360000000004</v>
      </c>
      <c r="T16" s="16">
        <f t="shared" si="10"/>
        <v>69.20168000000001</v>
      </c>
      <c r="U16" s="16">
        <f t="shared" si="10"/>
        <v>75.75200000000001</v>
      </c>
      <c r="V16" s="16">
        <f t="shared" si="10"/>
        <v>81.945840000000018</v>
      </c>
      <c r="W16" s="16">
        <f t="shared" si="10"/>
        <v>87.471280000000021</v>
      </c>
      <c r="X16" s="16">
        <f t="shared" si="10"/>
        <v>92.105519999999999</v>
      </c>
      <c r="Y16" s="16">
        <f t="shared" si="10"/>
        <v>95.89312000000001</v>
      </c>
      <c r="Z16" s="16">
        <f t="shared" si="10"/>
        <v>98.834080000000014</v>
      </c>
      <c r="AA16" s="16">
        <f t="shared" si="10"/>
        <v>101.10664000000001</v>
      </c>
      <c r="AB16" s="16">
        <f t="shared" si="10"/>
        <v>102.75536000000001</v>
      </c>
      <c r="AC16" s="16">
        <f t="shared" si="10"/>
        <v>104.00304000000001</v>
      </c>
      <c r="AD16" s="16">
        <f t="shared" si="10"/>
        <v>104.89424000000001</v>
      </c>
      <c r="AE16" s="16">
        <f t="shared" si="10"/>
        <v>106.36472000000001</v>
      </c>
      <c r="AF16" s="18">
        <f t="shared" si="10"/>
        <v>107.42836720000001</v>
      </c>
      <c r="AG16" s="16">
        <f t="shared" si="10"/>
        <v>108.502650872</v>
      </c>
      <c r="AH16" s="16">
        <f t="shared" si="10"/>
        <v>109.58767738072</v>
      </c>
      <c r="AI16" s="16">
        <f t="shared" si="10"/>
        <v>110.6835541545272</v>
      </c>
      <c r="AJ16" s="16"/>
      <c r="AK16" s="16"/>
      <c r="AL16" s="16"/>
      <c r="AM16" s="16"/>
      <c r="AN16" s="16"/>
    </row>
    <row r="17" spans="1:51" x14ac:dyDescent="0.25">
      <c r="A17" s="445"/>
      <c r="B17" s="319"/>
      <c r="C17" s="327" t="s">
        <v>358</v>
      </c>
      <c r="D17" s="331"/>
      <c r="E17" s="331">
        <v>0.2</v>
      </c>
      <c r="F17" s="328">
        <f t="shared" si="1"/>
        <v>168.11888503285186</v>
      </c>
      <c r="G17" s="442"/>
      <c r="H17" s="330"/>
      <c r="I17" s="16">
        <v>70.2</v>
      </c>
      <c r="J17" s="16">
        <v>70.400000000000006</v>
      </c>
      <c r="K17" s="16">
        <v>73.099999999999994</v>
      </c>
      <c r="L17" s="16">
        <v>79</v>
      </c>
      <c r="M17" s="16">
        <v>83.7</v>
      </c>
      <c r="N17" s="16">
        <v>88.8</v>
      </c>
      <c r="O17" s="16">
        <v>95.4</v>
      </c>
      <c r="P17" s="16">
        <v>103.9</v>
      </c>
      <c r="Q17" s="16">
        <v>114.3</v>
      </c>
      <c r="R17" s="16">
        <v>126.7</v>
      </c>
      <c r="S17" s="16">
        <v>140.6</v>
      </c>
      <c r="T17" s="16">
        <v>155.30000000000001</v>
      </c>
      <c r="U17" s="16">
        <v>170</v>
      </c>
      <c r="V17" s="16">
        <v>183.9</v>
      </c>
      <c r="W17" s="16">
        <v>196.3</v>
      </c>
      <c r="X17" s="16">
        <v>206.7</v>
      </c>
      <c r="Y17" s="16">
        <v>215.2</v>
      </c>
      <c r="Z17" s="16">
        <v>221.8</v>
      </c>
      <c r="AA17" s="16">
        <v>226.9</v>
      </c>
      <c r="AB17" s="16">
        <v>230.6</v>
      </c>
      <c r="AC17" s="16">
        <v>233.4</v>
      </c>
      <c r="AD17" s="16">
        <v>235.4</v>
      </c>
      <c r="AE17" s="16">
        <v>238.7</v>
      </c>
      <c r="AF17" s="17">
        <f>1.01*AE17</f>
        <v>241.08699999999999</v>
      </c>
      <c r="AG17" s="16">
        <f>1.01*AF17</f>
        <v>243.49786999999998</v>
      </c>
      <c r="AH17" s="16">
        <f>1.01*AG17</f>
        <v>245.93284869999997</v>
      </c>
      <c r="AI17" s="16">
        <f>1.01*AH17</f>
        <v>248.39217718699996</v>
      </c>
      <c r="AJ17" s="16"/>
      <c r="AK17" s="16"/>
      <c r="AL17" s="16"/>
      <c r="AM17" s="16"/>
      <c r="AN17" s="16"/>
      <c r="AY17" t="s">
        <v>362</v>
      </c>
    </row>
    <row r="18" spans="1:51" ht="15" customHeight="1" x14ac:dyDescent="0.25">
      <c r="A18" s="445" t="s">
        <v>364</v>
      </c>
      <c r="B18" s="319"/>
      <c r="C18" s="444" t="s">
        <v>357</v>
      </c>
      <c r="D18" s="444"/>
      <c r="E18" s="327"/>
      <c r="F18" s="328">
        <f t="shared" si="1"/>
        <v>106.83167832784873</v>
      </c>
      <c r="G18" s="442" t="s">
        <v>365</v>
      </c>
      <c r="H18" s="330"/>
      <c r="I18" s="16">
        <f t="shared" ref="I18:AI18" si="11">I19*$B$32</f>
        <v>31.192000000000004</v>
      </c>
      <c r="J18" s="16">
        <f t="shared" si="11"/>
        <v>32.083200000000005</v>
      </c>
      <c r="K18" s="16">
        <f t="shared" si="11"/>
        <v>32.974400000000003</v>
      </c>
      <c r="L18" s="16">
        <f t="shared" si="11"/>
        <v>33.42</v>
      </c>
      <c r="M18" s="16">
        <f t="shared" si="11"/>
        <v>35.291520000000006</v>
      </c>
      <c r="N18" s="16">
        <f t="shared" si="11"/>
        <v>37.303136640000005</v>
      </c>
      <c r="O18" s="16">
        <f t="shared" si="11"/>
        <v>39.429415428479999</v>
      </c>
      <c r="P18" s="16">
        <f t="shared" si="11"/>
        <v>41.676892107903363</v>
      </c>
      <c r="Q18" s="16">
        <f t="shared" si="11"/>
        <v>44.05247495805385</v>
      </c>
      <c r="R18" s="16">
        <f t="shared" si="11"/>
        <v>46.563466030662916</v>
      </c>
      <c r="S18" s="16">
        <f t="shared" si="11"/>
        <v>49.217583594410691</v>
      </c>
      <c r="T18" s="16">
        <f t="shared" si="11"/>
        <v>52.022985859292099</v>
      </c>
      <c r="U18" s="16">
        <f t="shared" si="11"/>
        <v>54.988296053271746</v>
      </c>
      <c r="V18" s="16">
        <f t="shared" si="11"/>
        <v>58.122628928308231</v>
      </c>
      <c r="W18" s="16">
        <f t="shared" si="11"/>
        <v>66.841023267554462</v>
      </c>
      <c r="X18" s="16">
        <f t="shared" si="11"/>
        <v>76.867176757687631</v>
      </c>
      <c r="Y18" s="16">
        <f t="shared" si="11"/>
        <v>88.397253271340759</v>
      </c>
      <c r="Z18" s="16">
        <f t="shared" si="11"/>
        <v>101.65684126204188</v>
      </c>
      <c r="AA18" s="16">
        <f t="shared" si="11"/>
        <v>116.90536745134816</v>
      </c>
      <c r="AB18" s="16">
        <f t="shared" si="11"/>
        <v>134.44117256905037</v>
      </c>
      <c r="AC18" s="16">
        <f t="shared" si="11"/>
        <v>154.60734845440791</v>
      </c>
      <c r="AD18" s="16">
        <f t="shared" si="11"/>
        <v>177.79845072256907</v>
      </c>
      <c r="AE18" s="16">
        <f t="shared" si="11"/>
        <v>204.46821833095441</v>
      </c>
      <c r="AF18" s="16">
        <f t="shared" si="11"/>
        <v>235.13845108059755</v>
      </c>
      <c r="AG18" s="16">
        <f t="shared" si="11"/>
        <v>270.40921874268719</v>
      </c>
      <c r="AH18" s="16">
        <f t="shared" si="11"/>
        <v>310.97060155409025</v>
      </c>
      <c r="AI18" s="16">
        <f t="shared" si="11"/>
        <v>357.61619178720372</v>
      </c>
      <c r="AJ18" s="16"/>
      <c r="AK18" s="16"/>
      <c r="AL18" s="16"/>
      <c r="AM18" s="16"/>
      <c r="AN18" s="16"/>
    </row>
    <row r="19" spans="1:51" x14ac:dyDescent="0.25">
      <c r="A19" s="445"/>
      <c r="B19" s="319"/>
      <c r="C19" s="327" t="s">
        <v>358</v>
      </c>
      <c r="D19" s="331"/>
      <c r="E19" s="331">
        <v>0.1</v>
      </c>
      <c r="F19" s="328">
        <f t="shared" si="1"/>
        <v>239.74793161545946</v>
      </c>
      <c r="G19" s="442"/>
      <c r="H19" s="330"/>
      <c r="I19" s="16">
        <v>70</v>
      </c>
      <c r="J19" s="16">
        <v>72</v>
      </c>
      <c r="K19" s="16">
        <v>74</v>
      </c>
      <c r="L19" s="16">
        <v>75</v>
      </c>
      <c r="M19" s="16">
        <f>1.056*L19</f>
        <v>79.2</v>
      </c>
      <c r="N19" s="16">
        <f t="shared" ref="N19:V19" si="12">1.057*M19</f>
        <v>83.714399999999998</v>
      </c>
      <c r="O19" s="16">
        <f t="shared" si="12"/>
        <v>88.486120799999995</v>
      </c>
      <c r="P19" s="16">
        <f t="shared" si="12"/>
        <v>93.529829685599992</v>
      </c>
      <c r="Q19" s="16">
        <f t="shared" si="12"/>
        <v>98.861029977679181</v>
      </c>
      <c r="R19" s="16">
        <f t="shared" si="12"/>
        <v>104.49610868640688</v>
      </c>
      <c r="S19" s="16">
        <f t="shared" si="12"/>
        <v>110.45238688153206</v>
      </c>
      <c r="T19" s="16">
        <f t="shared" si="12"/>
        <v>116.74817293377939</v>
      </c>
      <c r="U19" s="16">
        <f t="shared" si="12"/>
        <v>123.4028187910048</v>
      </c>
      <c r="V19" s="16">
        <f t="shared" si="12"/>
        <v>130.43677946209206</v>
      </c>
      <c r="W19" s="16">
        <f t="shared" ref="W19:AI19" si="13">1.15*V19</f>
        <v>150.00229638140587</v>
      </c>
      <c r="X19" s="16">
        <f t="shared" si="13"/>
        <v>172.50264083861674</v>
      </c>
      <c r="Y19" s="16">
        <f t="shared" si="13"/>
        <v>198.37803696440923</v>
      </c>
      <c r="Z19" s="16">
        <f t="shared" si="13"/>
        <v>228.13474250907061</v>
      </c>
      <c r="AA19" s="16">
        <f t="shared" si="13"/>
        <v>262.3549538854312</v>
      </c>
      <c r="AB19" s="16">
        <f t="shared" si="13"/>
        <v>301.70819696824583</v>
      </c>
      <c r="AC19" s="16">
        <f t="shared" si="13"/>
        <v>346.96442651348269</v>
      </c>
      <c r="AD19" s="16">
        <f t="shared" si="13"/>
        <v>399.00909049050506</v>
      </c>
      <c r="AE19" s="16">
        <f t="shared" si="13"/>
        <v>458.86045406408078</v>
      </c>
      <c r="AF19" s="17">
        <f t="shared" si="13"/>
        <v>527.68952217369281</v>
      </c>
      <c r="AG19" s="16">
        <f t="shared" si="13"/>
        <v>606.84295049974673</v>
      </c>
      <c r="AH19" s="16">
        <f t="shared" si="13"/>
        <v>697.86939307470868</v>
      </c>
      <c r="AI19" s="16">
        <f t="shared" si="13"/>
        <v>802.54980203591492</v>
      </c>
      <c r="AJ19" s="16"/>
      <c r="AK19" s="16"/>
      <c r="AL19" s="16"/>
      <c r="AM19" s="16"/>
      <c r="AN19" s="16"/>
    </row>
    <row r="20" spans="1:51" ht="15" customHeight="1" x14ac:dyDescent="0.25">
      <c r="A20" s="437" t="s">
        <v>366</v>
      </c>
      <c r="B20" s="438"/>
      <c r="C20" s="333" t="s">
        <v>357</v>
      </c>
      <c r="D20" s="333"/>
      <c r="E20" s="334"/>
      <c r="F20" s="328">
        <f t="shared" si="1"/>
        <v>93.658354585273003</v>
      </c>
      <c r="G20" s="328"/>
      <c r="H20" s="329"/>
      <c r="I20" s="15">
        <f>I8*$E$9+I10*$E$11+I12*$E$13+I14*$E$15+I16*$E$17+I18*$E$19</f>
        <v>40.522864000000006</v>
      </c>
      <c r="J20" s="15">
        <f t="shared" ref="J20:AI20" si="14">J8*$E$9+J10*$E$11+J12*$E$13+J14*$E$15+J16*$E$17+J18*$E$19</f>
        <v>44.060928000000011</v>
      </c>
      <c r="K20" s="15">
        <f t="shared" si="14"/>
        <v>47.821792000000009</v>
      </c>
      <c r="L20" s="15">
        <f t="shared" si="14"/>
        <v>51.912400000000005</v>
      </c>
      <c r="M20" s="15">
        <f t="shared" si="14"/>
        <v>55.061098720000011</v>
      </c>
      <c r="N20" s="15">
        <f t="shared" si="14"/>
        <v>58.27417581192001</v>
      </c>
      <c r="O20" s="15">
        <f t="shared" si="14"/>
        <v>61.647775506710921</v>
      </c>
      <c r="P20" s="15">
        <f t="shared" si="14"/>
        <v>65.218885568044925</v>
      </c>
      <c r="Q20" s="15">
        <f t="shared" si="14"/>
        <v>68.988914953972298</v>
      </c>
      <c r="R20" s="15">
        <f t="shared" si="14"/>
        <v>72.923697438957461</v>
      </c>
      <c r="S20" s="15">
        <f t="shared" si="14"/>
        <v>77.024791427362615</v>
      </c>
      <c r="T20" s="15">
        <f t="shared" si="14"/>
        <v>81.231451968587919</v>
      </c>
      <c r="U20" s="15">
        <f t="shared" si="14"/>
        <v>85.474106984624314</v>
      </c>
      <c r="V20" s="15">
        <f t="shared" si="14"/>
        <v>89.683273721355448</v>
      </c>
      <c r="W20" s="15">
        <f t="shared" si="14"/>
        <v>94.339015884586658</v>
      </c>
      <c r="X20" s="15">
        <f t="shared" si="14"/>
        <v>98.970131101173052</v>
      </c>
      <c r="Y20" s="15">
        <f t="shared" si="14"/>
        <v>103.60618171390742</v>
      </c>
      <c r="Z20" s="15">
        <f t="shared" si="14"/>
        <v>108.27080878476713</v>
      </c>
      <c r="AA20" s="15">
        <f t="shared" si="14"/>
        <v>113.02673572905316</v>
      </c>
      <c r="AB20" s="15">
        <f t="shared" si="14"/>
        <v>117.9584542612869</v>
      </c>
      <c r="AC20" s="15">
        <f t="shared" si="14"/>
        <v>123.10151458866385</v>
      </c>
      <c r="AD20" s="15">
        <f t="shared" si="14"/>
        <v>128.50558327771753</v>
      </c>
      <c r="AE20" s="15">
        <f t="shared" si="14"/>
        <v>134.40454593315647</v>
      </c>
      <c r="AF20" s="15">
        <f t="shared" si="14"/>
        <v>140.65478323811442</v>
      </c>
      <c r="AG20" s="15">
        <f t="shared" si="14"/>
        <v>147.57952582525164</v>
      </c>
      <c r="AH20" s="15">
        <f t="shared" si="14"/>
        <v>155.12815925472287</v>
      </c>
      <c r="AI20" s="15">
        <f t="shared" si="14"/>
        <v>163.38397810843443</v>
      </c>
      <c r="AJ20" s="15"/>
      <c r="AK20" s="15"/>
      <c r="AL20" s="15"/>
      <c r="AM20" s="15"/>
      <c r="AN20" s="15"/>
      <c r="AP20" s="15"/>
    </row>
    <row r="21" spans="1:51" x14ac:dyDescent="0.25">
      <c r="A21" s="437"/>
      <c r="B21" s="438"/>
      <c r="C21" s="327" t="s">
        <v>358</v>
      </c>
      <c r="D21" s="331"/>
      <c r="E21" s="334"/>
      <c r="F21" s="328">
        <f t="shared" si="1"/>
        <v>210.18481729190532</v>
      </c>
      <c r="G21" s="328"/>
      <c r="H21" s="329"/>
      <c r="I21" s="15">
        <f>I9*$E$9+I11*$E$11+I13*$E$13+I15*$E$15+I17*$E$17+I19*$E$19</f>
        <v>90.940000000000012</v>
      </c>
      <c r="J21" s="15">
        <f t="shared" ref="J21:AI21" si="15">J9*$E$9+J11*$E$11+J13*$E$13+J15*$E$15+J17*$E$17+J19*$E$19</f>
        <v>98.88</v>
      </c>
      <c r="K21" s="15">
        <f t="shared" si="15"/>
        <v>107.32000000000001</v>
      </c>
      <c r="L21" s="15">
        <f t="shared" si="15"/>
        <v>116.5</v>
      </c>
      <c r="M21" s="15">
        <f t="shared" si="15"/>
        <v>123.56619999999999</v>
      </c>
      <c r="N21" s="15">
        <f t="shared" si="15"/>
        <v>130.77687570000001</v>
      </c>
      <c r="O21" s="15">
        <f t="shared" si="15"/>
        <v>138.34779063445001</v>
      </c>
      <c r="P21" s="15">
        <f t="shared" si="15"/>
        <v>146.36195145431981</v>
      </c>
      <c r="Q21" s="15">
        <f t="shared" si="15"/>
        <v>154.82252009419275</v>
      </c>
      <c r="R21" s="15">
        <f t="shared" si="15"/>
        <v>163.65282190071238</v>
      </c>
      <c r="S21" s="15">
        <f t="shared" si="15"/>
        <v>172.85635419067015</v>
      </c>
      <c r="T21" s="15">
        <f t="shared" si="15"/>
        <v>182.2967952616425</v>
      </c>
      <c r="U21" s="15">
        <f t="shared" si="15"/>
        <v>191.81801387931841</v>
      </c>
      <c r="V21" s="15">
        <f t="shared" si="15"/>
        <v>201.26407926695563</v>
      </c>
      <c r="W21" s="15">
        <f t="shared" si="15"/>
        <v>211.71233367277074</v>
      </c>
      <c r="X21" s="15">
        <f t="shared" si="15"/>
        <v>222.10532114266843</v>
      </c>
      <c r="Y21" s="15">
        <f t="shared" si="15"/>
        <v>232.50938445670423</v>
      </c>
      <c r="Z21" s="15">
        <f t="shared" si="15"/>
        <v>242.97757806276286</v>
      </c>
      <c r="AA21" s="15">
        <f t="shared" si="15"/>
        <v>253.65066366484098</v>
      </c>
      <c r="AB21" s="15">
        <f t="shared" si="15"/>
        <v>264.71825462586821</v>
      </c>
      <c r="AC21" s="15">
        <f t="shared" si="15"/>
        <v>276.26013148263871</v>
      </c>
      <c r="AD21" s="15">
        <f t="shared" si="15"/>
        <v>288.38775421390829</v>
      </c>
      <c r="AE21" s="15">
        <f t="shared" si="15"/>
        <v>301.62600074765811</v>
      </c>
      <c r="AF21" s="15">
        <f t="shared" si="15"/>
        <v>315.65256561515793</v>
      </c>
      <c r="AG21" s="15">
        <f t="shared" si="15"/>
        <v>331.19283174428108</v>
      </c>
      <c r="AH21" s="15">
        <f t="shared" si="15"/>
        <v>348.13321197199923</v>
      </c>
      <c r="AI21" s="15">
        <f t="shared" si="15"/>
        <v>366.66063309792287</v>
      </c>
      <c r="AJ21" s="15"/>
      <c r="AK21" s="15"/>
      <c r="AL21" s="15"/>
      <c r="AM21" s="15"/>
      <c r="AN21" s="15"/>
    </row>
    <row r="22" spans="1:51" x14ac:dyDescent="0.25">
      <c r="A22" s="332" t="s">
        <v>338</v>
      </c>
      <c r="B22" s="335"/>
      <c r="C22" s="334"/>
      <c r="D22" s="39"/>
      <c r="E22" s="39"/>
      <c r="F22" s="328"/>
      <c r="G22" s="328"/>
      <c r="H22" s="329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51" x14ac:dyDescent="0.25">
      <c r="A23" s="336" t="s">
        <v>339</v>
      </c>
      <c r="B23" s="337" t="s">
        <v>367</v>
      </c>
      <c r="C23" s="39"/>
      <c r="D23" s="39"/>
      <c r="E23" s="39"/>
      <c r="F23" s="39"/>
      <c r="G23" s="39"/>
      <c r="H23" s="338"/>
      <c r="I23" s="39"/>
    </row>
    <row r="24" spans="1:51" x14ac:dyDescent="0.25">
      <c r="A24" s="336" t="s">
        <v>340</v>
      </c>
      <c r="B24" s="337" t="s">
        <v>368</v>
      </c>
      <c r="C24" s="39"/>
      <c r="D24" s="39"/>
      <c r="E24" s="39"/>
      <c r="F24" s="39"/>
      <c r="G24" s="39"/>
      <c r="H24" s="338"/>
      <c r="I24" s="39"/>
      <c r="L24" t="s">
        <v>369</v>
      </c>
      <c r="Q24" t="s">
        <v>369</v>
      </c>
      <c r="V24" t="s">
        <v>369</v>
      </c>
      <c r="AA24" t="s">
        <v>369</v>
      </c>
    </row>
    <row r="25" spans="1:51" x14ac:dyDescent="0.25">
      <c r="A25" s="336" t="s">
        <v>341</v>
      </c>
      <c r="B25" s="337" t="s">
        <v>370</v>
      </c>
      <c r="C25" s="39"/>
      <c r="D25" s="39"/>
      <c r="E25" s="39"/>
      <c r="F25" s="39"/>
      <c r="G25" s="39"/>
      <c r="H25" s="338"/>
      <c r="I25" s="39"/>
    </row>
    <row r="26" spans="1:51" x14ac:dyDescent="0.25">
      <c r="A26" s="336" t="s">
        <v>342</v>
      </c>
      <c r="B26" s="39" t="s">
        <v>371</v>
      </c>
      <c r="C26" s="39"/>
      <c r="D26" s="39"/>
      <c r="E26" s="39"/>
      <c r="F26" s="39"/>
      <c r="G26" s="39"/>
      <c r="H26" s="338"/>
      <c r="I26" s="39"/>
    </row>
    <row r="27" spans="1:51" x14ac:dyDescent="0.25">
      <c r="A27" s="336" t="s">
        <v>344</v>
      </c>
      <c r="B27" s="337" t="s">
        <v>372</v>
      </c>
      <c r="C27" s="39"/>
      <c r="D27" s="39"/>
      <c r="E27" s="39"/>
      <c r="F27" s="39"/>
      <c r="G27" s="39"/>
      <c r="H27" s="338"/>
      <c r="I27" s="39"/>
    </row>
    <row r="28" spans="1:51" x14ac:dyDescent="0.25">
      <c r="A28" s="339" t="s">
        <v>373</v>
      </c>
      <c r="B28" s="340" t="s">
        <v>374</v>
      </c>
      <c r="C28" s="341"/>
      <c r="D28" s="341"/>
      <c r="E28" s="341"/>
      <c r="F28" s="341"/>
      <c r="G28" s="341"/>
      <c r="H28" s="342"/>
      <c r="I28" s="39"/>
    </row>
    <row r="29" spans="1:51" x14ac:dyDescent="0.25">
      <c r="A29" s="439" t="s">
        <v>375</v>
      </c>
      <c r="B29" s="440"/>
      <c r="C29" s="440"/>
      <c r="D29" s="441"/>
      <c r="E29" t="s">
        <v>376</v>
      </c>
    </row>
    <row r="30" spans="1:51" x14ac:dyDescent="0.25">
      <c r="A30" s="33" t="s">
        <v>377</v>
      </c>
      <c r="B30" s="34" t="s">
        <v>378</v>
      </c>
      <c r="C30" s="321"/>
      <c r="D30" s="35"/>
      <c r="E30" t="s">
        <v>379</v>
      </c>
    </row>
    <row r="31" spans="1:51" x14ac:dyDescent="0.25">
      <c r="A31" s="33" t="s">
        <v>380</v>
      </c>
      <c r="B31" s="2" t="s">
        <v>381</v>
      </c>
      <c r="C31" s="2" t="s">
        <v>382</v>
      </c>
      <c r="D31" s="35"/>
      <c r="E31" s="2" t="s">
        <v>383</v>
      </c>
    </row>
    <row r="32" spans="1:51" x14ac:dyDescent="0.25">
      <c r="A32" s="36">
        <v>445.6</v>
      </c>
      <c r="B32" s="1">
        <f>A32/1000000*1000</f>
        <v>0.44560000000000005</v>
      </c>
      <c r="C32" s="37">
        <f>SUM('Custos EDA-Fueloil e Gasoleo'!J25:J28)/(SUM('Custos EDA-Fueloil e Gasoleo'!L25:L28)/1000)</f>
        <v>43.558170694769899</v>
      </c>
      <c r="D32" s="38"/>
    </row>
  </sheetData>
  <mergeCells count="21">
    <mergeCell ref="C7:D7"/>
    <mergeCell ref="C8:D8"/>
    <mergeCell ref="C10:D10"/>
    <mergeCell ref="A8:A9"/>
    <mergeCell ref="A10:A11"/>
    <mergeCell ref="A20:B21"/>
    <mergeCell ref="A29:D29"/>
    <mergeCell ref="G18:G19"/>
    <mergeCell ref="G8:G9"/>
    <mergeCell ref="G10:G11"/>
    <mergeCell ref="G12:G13"/>
    <mergeCell ref="G14:G15"/>
    <mergeCell ref="G16:G17"/>
    <mergeCell ref="C12:D12"/>
    <mergeCell ref="C14:D14"/>
    <mergeCell ref="C18:D18"/>
    <mergeCell ref="C16:D16"/>
    <mergeCell ref="A12:A13"/>
    <mergeCell ref="A14:A15"/>
    <mergeCell ref="A16:A17"/>
    <mergeCell ref="A18:A19"/>
  </mergeCells>
  <hyperlinks>
    <hyperlink ref="B28" r:id="rId1" display="https://www.enerdata.net/publications/executive-briefing/carbon-price-projections-eu-ets.html" xr:uid="{BF81AD4B-AEBA-4262-AF6B-9F3177F98B04}"/>
    <hyperlink ref="B25" r:id="rId2" location=":~:text=Price%20outlook%3A%20BNEF%27s%20latest%20forecast,%E2%82%AC80%2Ft%20in%202025." display="https://about.bnef.com/blog/eu-ets-market-outlook-1h-2024-prices-valley-before-rally/ - :~:text=Price%20outlook%3A%20BNEF%27s%20latest%20forecast,%E2%82%AC80%2Ft%20in%202025." xr:uid="{7D75EFE6-1606-41AD-B32B-6EA82630A927}"/>
    <hyperlink ref="B23" r:id="rId3" display="https://ec.europa.eu/regional_policy/sources/guides/vademecum_2127/vademecum_2127_en.pdf" xr:uid="{85F9455E-324D-430F-9E32-C17BE908740F}"/>
    <hyperlink ref="B24" r:id="rId4" display="https://assets.publishing.service.gov.uk/media/5a756347ed915d6faf2b297a/1_20100120165619_e____carbonvaluesbeyond2050.pdf" xr:uid="{20A272A4-92D5-44D4-8BCE-715397BC3BDD}"/>
    <hyperlink ref="B30" r:id="rId5" display="https://www.eda.pt/Regulacao/Rotulagem/Paginas/Resultados.aspx" xr:uid="{18FBC681-D2C5-486E-8666-A3488B79E5C1}"/>
    <hyperlink ref="B27" r:id="rId6" display="https://www.spglobal.com/esg/insights/featured/special-editorial/eu-carbon-border-adjustment-mechanism-to-raise-80b-per-year-by-2040" xr:uid="{BAC887FD-A1E8-4750-A95F-D670519ED0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7B85-78F7-41A8-9B79-1DD56F74D276}">
  <dimension ref="A1:AM175"/>
  <sheetViews>
    <sheetView topLeftCell="A103" zoomScale="120" zoomScaleNormal="120" workbookViewId="0">
      <selection activeCell="F121" sqref="F121"/>
    </sheetView>
  </sheetViews>
  <sheetFormatPr defaultRowHeight="15" x14ac:dyDescent="0.25"/>
  <cols>
    <col min="1" max="1" width="41" customWidth="1"/>
    <col min="2" max="2" width="6.5703125" bestFit="1" customWidth="1"/>
    <col min="3" max="3" width="8.85546875" bestFit="1" customWidth="1"/>
    <col min="4" max="6" width="7.42578125" bestFit="1" customWidth="1"/>
    <col min="7" max="7" width="7.7109375" bestFit="1" customWidth="1"/>
    <col min="8" max="8" width="7.85546875" bestFit="1" customWidth="1"/>
    <col min="9" max="9" width="6.85546875" bestFit="1" customWidth="1"/>
    <col min="11" max="11" width="10.42578125" bestFit="1" customWidth="1"/>
  </cols>
  <sheetData>
    <row r="1" spans="1:20" x14ac:dyDescent="0.25">
      <c r="A1" s="129" t="s">
        <v>58</v>
      </c>
      <c r="B1" s="129"/>
      <c r="C1" s="130" t="s">
        <v>0</v>
      </c>
      <c r="D1" s="130" t="s">
        <v>1</v>
      </c>
      <c r="E1" s="130" t="s">
        <v>2</v>
      </c>
      <c r="F1" s="130" t="s">
        <v>3</v>
      </c>
      <c r="G1" s="130" t="s">
        <v>4</v>
      </c>
      <c r="H1" s="130" t="s">
        <v>5</v>
      </c>
      <c r="I1" s="130" t="s">
        <v>6</v>
      </c>
      <c r="J1" s="130" t="s">
        <v>59</v>
      </c>
    </row>
    <row r="2" spans="1:20" x14ac:dyDescent="0.25">
      <c r="A2" s="121"/>
      <c r="B2" s="137"/>
      <c r="C2" s="138"/>
      <c r="D2" s="138"/>
      <c r="E2" s="138"/>
      <c r="F2" s="138"/>
      <c r="G2" s="138"/>
      <c r="H2" s="138"/>
      <c r="I2" s="138"/>
      <c r="J2" s="138"/>
    </row>
    <row r="3" spans="1:20" x14ac:dyDescent="0.25">
      <c r="A3" s="129" t="s">
        <v>7</v>
      </c>
      <c r="B3" s="129"/>
      <c r="C3" s="130"/>
      <c r="D3" s="130"/>
      <c r="E3" s="130"/>
      <c r="F3" s="130"/>
      <c r="G3" s="130"/>
      <c r="H3" s="130"/>
      <c r="I3" s="130"/>
      <c r="J3" s="130"/>
    </row>
    <row r="4" spans="1:20" ht="8.25" customHeight="1" x14ac:dyDescent="0.25">
      <c r="A4" s="120"/>
      <c r="B4" s="131"/>
      <c r="C4" s="132"/>
      <c r="D4" s="132"/>
      <c r="E4" s="132"/>
      <c r="F4" s="132"/>
      <c r="G4" s="132"/>
      <c r="H4" s="132"/>
      <c r="I4" s="132"/>
      <c r="J4" s="192"/>
    </row>
    <row r="5" spans="1:20" x14ac:dyDescent="0.25">
      <c r="A5" s="96" t="s">
        <v>8</v>
      </c>
      <c r="B5" s="133" t="s">
        <v>9</v>
      </c>
      <c r="C5" s="134">
        <v>478.29</v>
      </c>
      <c r="D5" s="134">
        <v>201.75</v>
      </c>
      <c r="E5" s="134">
        <v>51.27</v>
      </c>
      <c r="F5" s="134">
        <v>49.87</v>
      </c>
      <c r="G5" s="134">
        <v>29.88</v>
      </c>
      <c r="H5" s="134">
        <v>22.47</v>
      </c>
      <c r="I5" s="135">
        <f>SUM(C5:H5)</f>
        <v>833.53</v>
      </c>
      <c r="J5" s="192" t="s">
        <v>60</v>
      </c>
    </row>
    <row r="6" spans="1:20" x14ac:dyDescent="0.25">
      <c r="A6" s="96" t="s">
        <v>10</v>
      </c>
      <c r="B6" s="133" t="s">
        <v>9</v>
      </c>
      <c r="C6" s="136">
        <v>271.73500000000001</v>
      </c>
      <c r="D6" s="136">
        <v>151.47499999999999</v>
      </c>
      <c r="E6" s="136">
        <v>48.255000000000003</v>
      </c>
      <c r="F6" s="136">
        <v>47.937800000000003</v>
      </c>
      <c r="G6" s="136">
        <v>29.397400000000001</v>
      </c>
      <c r="H6" s="136">
        <v>22.117999999999999</v>
      </c>
      <c r="I6" s="135">
        <f>SUM(C6:H6)</f>
        <v>570.91820000000007</v>
      </c>
      <c r="J6" s="192" t="s">
        <v>60</v>
      </c>
    </row>
    <row r="7" spans="1:20" x14ac:dyDescent="0.25">
      <c r="A7" s="96" t="s">
        <v>61</v>
      </c>
      <c r="B7" s="133" t="s">
        <v>9</v>
      </c>
      <c r="C7" s="136">
        <f>'Custos EDA - Todas as Fontes'!B19</f>
        <v>151</v>
      </c>
      <c r="D7" s="136">
        <f>'Custos EDA - Todas as Fontes'!B20</f>
        <v>97</v>
      </c>
      <c r="E7" s="136">
        <f>'Custos EDA - Todas as Fontes'!B21</f>
        <v>48</v>
      </c>
      <c r="F7" s="136">
        <f>'Custos EDA - Todas as Fontes'!B22</f>
        <v>49.2</v>
      </c>
      <c r="G7" s="136">
        <f>'Custos EDA - Todas as Fontes'!B23</f>
        <v>25</v>
      </c>
      <c r="H7" s="136">
        <f>'Custos EDA - Todas as Fontes'!B24</f>
        <v>17.7</v>
      </c>
      <c r="I7" s="135">
        <f>SUM(C7:H7)</f>
        <v>387.9</v>
      </c>
      <c r="J7" s="192" t="s">
        <v>62</v>
      </c>
    </row>
    <row r="8" spans="1:20" x14ac:dyDescent="0.25">
      <c r="A8" s="96" t="s">
        <v>12</v>
      </c>
      <c r="B8" s="133" t="s">
        <v>13</v>
      </c>
      <c r="C8" s="136">
        <f>'Custos EDA-Fueloil e Gasoleo'!K25/1000000</f>
        <v>47.088344999999997</v>
      </c>
      <c r="D8" s="136">
        <f>'Custos EDA-Fueloil e Gasoleo'!K26/1000000</f>
        <v>31.720550999999997</v>
      </c>
      <c r="E8" s="136">
        <f>'Custos EDA-Fueloil e Gasoleo'!K27/1000000</f>
        <v>10.945532</v>
      </c>
      <c r="F8" s="136">
        <f>'Custos EDA-Fueloil e Gasoleo'!K28/1000000</f>
        <v>10.983394000000001</v>
      </c>
      <c r="G8" s="136">
        <f>'Custos EDA-Fueloil e Gasoleo'!K29/1000000</f>
        <v>10.350440000000003</v>
      </c>
      <c r="H8" s="136">
        <f>'Custos EDA-Fueloil e Gasoleo'!K30/1000000</f>
        <v>8.3544680000000007</v>
      </c>
      <c r="I8" s="135">
        <f>SUM(C8:H8)</f>
        <v>119.44273</v>
      </c>
      <c r="J8" s="192" t="s">
        <v>63</v>
      </c>
    </row>
    <row r="9" spans="1:20" x14ac:dyDescent="0.25">
      <c r="A9" s="96" t="s">
        <v>64</v>
      </c>
      <c r="B9" s="137" t="s">
        <v>14</v>
      </c>
      <c r="C9" s="138">
        <f>'Custos EDA-Fueloil e Gasoleo'!E6</f>
        <v>160.64682710285342</v>
      </c>
      <c r="D9" s="138">
        <f>'Custos EDA-Fueloil e Gasoleo'!E7</f>
        <v>170.61371677612908</v>
      </c>
      <c r="E9" s="138">
        <f>'Custos EDA-Fueloil e Gasoleo'!E8</f>
        <v>194.73577267994381</v>
      </c>
      <c r="F9" s="138">
        <f>'Custos EDA-Fueloil e Gasoleo'!E9</f>
        <v>190.74699558240042</v>
      </c>
      <c r="G9" s="138">
        <f>'Custos EDA-Fueloil e Gasoleo'!E10</f>
        <v>309.63514817497219</v>
      </c>
      <c r="H9" s="138">
        <f>'Custos EDA-Fueloil e Gasoleo'!E11</f>
        <v>311.30351616178621</v>
      </c>
      <c r="I9" s="138">
        <f>'Custos EDA-Fueloil e Gasoleo'!E12</f>
        <v>182.20792274553767</v>
      </c>
      <c r="J9" s="192" t="s">
        <v>63</v>
      </c>
    </row>
    <row r="10" spans="1:20" x14ac:dyDescent="0.25">
      <c r="A10" s="120" t="s">
        <v>65</v>
      </c>
      <c r="B10" s="140" t="s">
        <v>14</v>
      </c>
      <c r="C10" s="139">
        <f>'Custos EDA-Fueloil e Gasoleo'!G6</f>
        <v>167.07270018696755</v>
      </c>
      <c r="D10" s="139">
        <f>'Custos EDA-Fueloil e Gasoleo'!G7</f>
        <v>177.43826544717425</v>
      </c>
      <c r="E10" s="139">
        <f>'Custos EDA-Fueloil e Gasoleo'!G8</f>
        <v>202.52520358714156</v>
      </c>
      <c r="F10" s="139">
        <f>'Custos EDA-Fueloil e Gasoleo'!G9</f>
        <v>198.37687540569644</v>
      </c>
      <c r="G10" s="139">
        <f>'Custos EDA-Fueloil e Gasoleo'!G10</f>
        <v>322.02055410197107</v>
      </c>
      <c r="H10" s="139">
        <f>'Custos EDA-Fueloil e Gasoleo'!G11</f>
        <v>323.75565680825764</v>
      </c>
      <c r="I10" s="139">
        <f>'Custos EDA-Fueloil e Gasoleo'!G12</f>
        <v>189.49623965535918</v>
      </c>
      <c r="J10" s="192" t="s">
        <v>66</v>
      </c>
      <c r="T10">
        <f>180*(1.019^17.5)</f>
        <v>250.21925414814822</v>
      </c>
    </row>
    <row r="11" spans="1:20" ht="6.75" customHeight="1" x14ac:dyDescent="0.25">
      <c r="A11" s="121"/>
      <c r="B11" s="137"/>
      <c r="C11" s="138"/>
      <c r="D11" s="138"/>
      <c r="E11" s="138"/>
      <c r="F11" s="138"/>
      <c r="G11" s="138"/>
      <c r="H11" s="138"/>
      <c r="I11" s="138"/>
      <c r="J11" s="192"/>
    </row>
    <row r="12" spans="1:20" x14ac:dyDescent="0.25">
      <c r="A12" s="129" t="s">
        <v>16</v>
      </c>
      <c r="B12" s="141"/>
      <c r="C12" s="130" t="s">
        <v>0</v>
      </c>
      <c r="D12" s="130" t="s">
        <v>1</v>
      </c>
      <c r="E12" s="130" t="s">
        <v>2</v>
      </c>
      <c r="F12" s="130" t="s">
        <v>3</v>
      </c>
      <c r="G12" s="130" t="s">
        <v>4</v>
      </c>
      <c r="H12" s="130" t="s">
        <v>5</v>
      </c>
      <c r="I12" s="130" t="s">
        <v>6</v>
      </c>
      <c r="J12" s="138"/>
    </row>
    <row r="13" spans="1:20" ht="6.75" customHeight="1" x14ac:dyDescent="0.25">
      <c r="A13" s="120"/>
      <c r="B13" s="140"/>
      <c r="C13" s="139"/>
      <c r="D13" s="139"/>
      <c r="E13" s="139"/>
      <c r="F13" s="139"/>
      <c r="G13" s="139"/>
      <c r="H13" s="139"/>
      <c r="I13" s="139"/>
      <c r="J13" s="192"/>
    </row>
    <row r="14" spans="1:20" x14ac:dyDescent="0.25">
      <c r="A14" s="142" t="s">
        <v>17</v>
      </c>
      <c r="B14" s="140"/>
      <c r="C14" s="139"/>
      <c r="D14" s="139"/>
      <c r="E14" s="139"/>
      <c r="F14" s="139"/>
      <c r="G14" s="139"/>
      <c r="H14" s="139"/>
      <c r="I14" s="139"/>
      <c r="J14" s="192"/>
    </row>
    <row r="15" spans="1:20" x14ac:dyDescent="0.25">
      <c r="A15" s="96" t="s">
        <v>67</v>
      </c>
      <c r="B15" s="137" t="s">
        <v>14</v>
      </c>
      <c r="C15" s="138">
        <f>'Preço PPA'!E3</f>
        <v>135.79</v>
      </c>
      <c r="D15" s="138">
        <f>'Preço PPA'!E4</f>
        <v>137.04</v>
      </c>
      <c r="E15" s="138">
        <f>'Preço PPA'!E5</f>
        <v>153.97999999999999</v>
      </c>
      <c r="F15" s="138">
        <f>'Preço PPA'!E6</f>
        <v>157.80000000000001</v>
      </c>
      <c r="G15" s="138">
        <f>'Preço PPA'!E7</f>
        <v>191.69</v>
      </c>
      <c r="H15" s="138">
        <f>'Preço PPA'!E8</f>
        <v>196.73</v>
      </c>
      <c r="I15" s="138">
        <f>'Preço PPA'!E9</f>
        <v>148.5</v>
      </c>
      <c r="J15" s="192" t="s">
        <v>68</v>
      </c>
    </row>
    <row r="16" spans="1:20" x14ac:dyDescent="0.25">
      <c r="A16" s="96" t="s">
        <v>19</v>
      </c>
      <c r="B16" s="133" t="s">
        <v>9</v>
      </c>
      <c r="C16" s="138">
        <v>33.400999999999996</v>
      </c>
      <c r="D16" s="138">
        <v>16.556000000000001</v>
      </c>
      <c r="E16" s="138">
        <v>11.066000000000001</v>
      </c>
      <c r="F16" s="138">
        <v>10.228</v>
      </c>
      <c r="G16" s="138">
        <v>4.7480000000000002</v>
      </c>
      <c r="H16" s="138">
        <v>2.6840000000000002</v>
      </c>
      <c r="I16" s="138">
        <f>SUM(C16:H16)</f>
        <v>78.682999999999993</v>
      </c>
      <c r="J16" s="192" t="s">
        <v>69</v>
      </c>
    </row>
    <row r="17" spans="1:11" x14ac:dyDescent="0.25">
      <c r="A17" s="96" t="s">
        <v>20</v>
      </c>
      <c r="B17" s="133" t="s">
        <v>13</v>
      </c>
      <c r="C17" s="136">
        <f>C16*1000*C$15/1000000</f>
        <v>4.5355217899999989</v>
      </c>
      <c r="D17" s="136">
        <f t="shared" ref="D17:H17" si="0">D16*1000*D$15/1000000</f>
        <v>2.2688342399999999</v>
      </c>
      <c r="E17" s="136">
        <f t="shared" si="0"/>
        <v>1.7039426799999999</v>
      </c>
      <c r="F17" s="136">
        <f t="shared" si="0"/>
        <v>1.6139784000000001</v>
      </c>
      <c r="G17" s="136">
        <f t="shared" si="0"/>
        <v>0.91014412</v>
      </c>
      <c r="H17" s="136">
        <f t="shared" si="0"/>
        <v>0.52802331999999996</v>
      </c>
      <c r="I17" s="138">
        <f t="shared" ref="I17:I23" si="1">SUM(C17:H17)</f>
        <v>11.56044455</v>
      </c>
      <c r="J17" s="192" t="s">
        <v>70</v>
      </c>
    </row>
    <row r="18" spans="1:11" x14ac:dyDescent="0.25">
      <c r="A18" s="96" t="s">
        <v>21</v>
      </c>
      <c r="B18" s="133" t="s">
        <v>9</v>
      </c>
      <c r="C18" s="138">
        <v>1.6393</v>
      </c>
      <c r="D18" s="138">
        <v>1.758</v>
      </c>
      <c r="E18" s="138">
        <v>2.8109999999999999</v>
      </c>
      <c r="F18" s="138">
        <v>2.7134999999999998</v>
      </c>
      <c r="G18" s="138">
        <v>1.1516999999999999</v>
      </c>
      <c r="H18" s="138">
        <v>0.69189999999999996</v>
      </c>
      <c r="I18" s="138">
        <f t="shared" si="1"/>
        <v>10.7654</v>
      </c>
      <c r="J18" s="192" t="s">
        <v>71</v>
      </c>
    </row>
    <row r="19" spans="1:11" x14ac:dyDescent="0.25">
      <c r="A19" s="96" t="s">
        <v>22</v>
      </c>
      <c r="B19" s="133" t="s">
        <v>9</v>
      </c>
      <c r="C19" s="138">
        <f>0.144*C18*-1</f>
        <v>-0.23605919999999997</v>
      </c>
      <c r="D19" s="138">
        <f t="shared" ref="D19:H19" si="2">0.144*D18*-1</f>
        <v>-0.25315199999999999</v>
      </c>
      <c r="E19" s="138">
        <f t="shared" si="2"/>
        <v>-0.40478399999999998</v>
      </c>
      <c r="F19" s="138">
        <f t="shared" si="2"/>
        <v>-0.39074399999999992</v>
      </c>
      <c r="G19" s="138">
        <f t="shared" si="2"/>
        <v>-0.16584479999999999</v>
      </c>
      <c r="H19" s="138">
        <f t="shared" si="2"/>
        <v>-9.9633599999999989E-2</v>
      </c>
      <c r="I19" s="138">
        <f t="shared" si="1"/>
        <v>-1.5502175999999999</v>
      </c>
      <c r="J19" s="192" t="s">
        <v>72</v>
      </c>
    </row>
    <row r="20" spans="1:11" x14ac:dyDescent="0.25">
      <c r="A20" s="96" t="s">
        <v>23</v>
      </c>
      <c r="B20" s="133" t="s">
        <v>9</v>
      </c>
      <c r="C20" s="138">
        <f>C18+C19</f>
        <v>1.4032408000000001</v>
      </c>
      <c r="D20" s="138">
        <f t="shared" ref="D20:H20" si="3">D18+D19</f>
        <v>1.504848</v>
      </c>
      <c r="E20" s="138">
        <f t="shared" si="3"/>
        <v>2.4062160000000001</v>
      </c>
      <c r="F20" s="138">
        <f t="shared" si="3"/>
        <v>2.322756</v>
      </c>
      <c r="G20" s="138">
        <f t="shared" si="3"/>
        <v>0.98585519999999993</v>
      </c>
      <c r="H20" s="138">
        <f t="shared" si="3"/>
        <v>0.59226639999999997</v>
      </c>
      <c r="I20" s="138">
        <f t="shared" si="1"/>
        <v>9.2151823999999998</v>
      </c>
      <c r="J20" s="192"/>
    </row>
    <row r="21" spans="1:11" x14ac:dyDescent="0.25">
      <c r="A21" s="96" t="s">
        <v>24</v>
      </c>
      <c r="B21" s="133" t="s">
        <v>13</v>
      </c>
      <c r="C21" s="200">
        <f>C20*1000*C$15/1000000</f>
        <v>0.19054606823199999</v>
      </c>
      <c r="D21" s="200">
        <f t="shared" ref="D21" si="4">D20*1000*D$15/1000000</f>
        <v>0.20622436991999996</v>
      </c>
      <c r="E21" s="200">
        <f t="shared" ref="E21" si="5">E20*1000*E$15/1000000</f>
        <v>0.37050913968000004</v>
      </c>
      <c r="F21" s="200">
        <f t="shared" ref="F21" si="6">F20*1000*F$15/1000000</f>
        <v>0.36653089680000001</v>
      </c>
      <c r="G21" s="200">
        <f t="shared" ref="G21" si="7">G20*1000*G$15/1000000</f>
        <v>0.18897858328799999</v>
      </c>
      <c r="H21" s="200">
        <f t="shared" ref="H21" si="8">H20*1000*H$15/1000000</f>
        <v>0.11651656887199999</v>
      </c>
      <c r="I21" s="138">
        <f t="shared" si="1"/>
        <v>1.4393056267920001</v>
      </c>
      <c r="J21" s="192"/>
    </row>
    <row r="22" spans="1:11" x14ac:dyDescent="0.25">
      <c r="A22" s="405" t="s">
        <v>25</v>
      </c>
      <c r="B22" s="199" t="s">
        <v>9</v>
      </c>
      <c r="C22" s="135">
        <f>C16+C20</f>
        <v>34.804240799999995</v>
      </c>
      <c r="D22" s="135">
        <f t="shared" ref="D22:H23" si="9">D16+D20</f>
        <v>18.060848</v>
      </c>
      <c r="E22" s="135">
        <f t="shared" si="9"/>
        <v>13.472216000000001</v>
      </c>
      <c r="F22" s="135">
        <f t="shared" si="9"/>
        <v>12.550756</v>
      </c>
      <c r="G22" s="135">
        <f t="shared" si="9"/>
        <v>5.7338551999999998</v>
      </c>
      <c r="H22" s="135">
        <f t="shared" si="9"/>
        <v>3.2762663999999999</v>
      </c>
      <c r="I22" s="139">
        <f t="shared" si="1"/>
        <v>87.898182399999996</v>
      </c>
      <c r="J22" s="192"/>
    </row>
    <row r="23" spans="1:11" x14ac:dyDescent="0.25">
      <c r="A23" s="405"/>
      <c r="B23" s="133" t="s">
        <v>13</v>
      </c>
      <c r="C23" s="201">
        <f>C17+C21</f>
        <v>4.7260678582319988</v>
      </c>
      <c r="D23" s="201">
        <f t="shared" si="9"/>
        <v>2.47505860992</v>
      </c>
      <c r="E23" s="201">
        <f t="shared" si="9"/>
        <v>2.0744518196800001</v>
      </c>
      <c r="F23" s="201">
        <f t="shared" si="9"/>
        <v>1.9805092968000002</v>
      </c>
      <c r="G23" s="201">
        <f t="shared" si="9"/>
        <v>1.099122703288</v>
      </c>
      <c r="H23" s="201">
        <f t="shared" si="9"/>
        <v>0.64453988887199998</v>
      </c>
      <c r="I23" s="139">
        <f t="shared" si="1"/>
        <v>12.999750176791999</v>
      </c>
      <c r="J23" s="192"/>
    </row>
    <row r="24" spans="1:11" x14ac:dyDescent="0.25">
      <c r="A24" s="96"/>
      <c r="B24" s="133"/>
      <c r="C24" s="178"/>
      <c r="D24" s="178"/>
      <c r="E24" s="178"/>
      <c r="F24" s="178"/>
      <c r="G24" s="178"/>
      <c r="H24" s="178"/>
      <c r="I24" s="178"/>
      <c r="J24" s="192"/>
    </row>
    <row r="25" spans="1:11" x14ac:dyDescent="0.25">
      <c r="A25" s="207" t="s">
        <v>73</v>
      </c>
      <c r="B25" s="208"/>
      <c r="C25" s="209" t="s">
        <v>0</v>
      </c>
      <c r="D25" s="209" t="s">
        <v>1</v>
      </c>
      <c r="E25" s="209" t="s">
        <v>2</v>
      </c>
      <c r="F25" s="209" t="s">
        <v>3</v>
      </c>
      <c r="G25" s="209" t="s">
        <v>4</v>
      </c>
      <c r="H25" s="209" t="s">
        <v>5</v>
      </c>
      <c r="I25" s="210" t="s">
        <v>6</v>
      </c>
      <c r="J25" s="192"/>
    </row>
    <row r="26" spans="1:11" x14ac:dyDescent="0.25">
      <c r="A26" s="150" t="s">
        <v>27</v>
      </c>
      <c r="B26" s="133"/>
      <c r="C26" s="213">
        <v>0.35</v>
      </c>
      <c r="D26" s="213">
        <v>0.35</v>
      </c>
      <c r="E26" s="213">
        <v>0.35</v>
      </c>
      <c r="F26" s="213">
        <v>0.35</v>
      </c>
      <c r="G26" s="213">
        <v>0.35</v>
      </c>
      <c r="H26" s="213">
        <v>0.35</v>
      </c>
      <c r="I26" s="213">
        <v>0.35</v>
      </c>
      <c r="J26" s="192" t="s">
        <v>74</v>
      </c>
      <c r="K26" s="126"/>
    </row>
    <row r="27" spans="1:11" x14ac:dyDescent="0.25">
      <c r="A27" s="150" t="s">
        <v>75</v>
      </c>
      <c r="B27" s="133" t="s">
        <v>29</v>
      </c>
      <c r="C27" s="151">
        <v>9</v>
      </c>
      <c r="D27" s="151">
        <v>12.6</v>
      </c>
      <c r="E27" s="151">
        <v>3.3</v>
      </c>
      <c r="F27" s="151">
        <v>4.25</v>
      </c>
      <c r="G27" s="151">
        <v>1.8</v>
      </c>
      <c r="H27" s="151">
        <v>1.5</v>
      </c>
      <c r="I27" s="154">
        <f t="shared" ref="I27:I34" si="10">SUM(C27:H27)</f>
        <v>32.450000000000003</v>
      </c>
      <c r="J27" s="192" t="s">
        <v>76</v>
      </c>
    </row>
    <row r="28" spans="1:11" x14ac:dyDescent="0.25">
      <c r="A28" s="150" t="s">
        <v>77</v>
      </c>
      <c r="B28" s="133" t="s">
        <v>9</v>
      </c>
      <c r="C28" s="151">
        <f>C26*C27*8760/1000</f>
        <v>27.594000000000001</v>
      </c>
      <c r="D28" s="213">
        <f t="shared" ref="D28:H28" si="11">D26*D27*8760/1000</f>
        <v>38.631599999999992</v>
      </c>
      <c r="E28" s="151">
        <f t="shared" si="11"/>
        <v>10.117799999999997</v>
      </c>
      <c r="F28" s="151">
        <f t="shared" si="11"/>
        <v>13.030499999999998</v>
      </c>
      <c r="G28" s="151">
        <f t="shared" si="11"/>
        <v>5.5188000000000006</v>
      </c>
      <c r="H28" s="151">
        <f t="shared" si="11"/>
        <v>4.5989999999999993</v>
      </c>
      <c r="I28" s="154">
        <f t="shared" si="10"/>
        <v>99.491699999999994</v>
      </c>
      <c r="J28" s="192" t="s">
        <v>78</v>
      </c>
    </row>
    <row r="29" spans="1:11" x14ac:dyDescent="0.25">
      <c r="A29" s="150" t="s">
        <v>79</v>
      </c>
      <c r="B29" s="133" t="s">
        <v>9</v>
      </c>
      <c r="C29" s="151">
        <f>(16.636+15.946+14.85)/3</f>
        <v>15.810666666666668</v>
      </c>
      <c r="D29" s="213">
        <f>(21.023+8.318+25.19+9.21+23.67+8.41)/3</f>
        <v>31.940333333333331</v>
      </c>
      <c r="E29" s="151">
        <f>(5.05+4.75+4.75)/3</f>
        <v>4.8500000000000005</v>
      </c>
      <c r="F29" s="151">
        <f>(5.37+4.99+5.31)/3</f>
        <v>5.2233333333333327</v>
      </c>
      <c r="G29" s="151">
        <f>(2.16+0.944+2.47)/3</f>
        <v>1.8579999999999999</v>
      </c>
      <c r="H29" s="151">
        <f>(1.79+0.629+1.89)/3</f>
        <v>1.4363333333333335</v>
      </c>
      <c r="I29" s="154">
        <f>SUM(C29:H29)</f>
        <v>61.118666666666655</v>
      </c>
      <c r="J29" s="192" t="s">
        <v>80</v>
      </c>
    </row>
    <row r="30" spans="1:11" x14ac:dyDescent="0.25">
      <c r="A30" s="96" t="s">
        <v>81</v>
      </c>
      <c r="B30" s="133" t="s">
        <v>32</v>
      </c>
      <c r="C30" s="214">
        <f>C29/C28</f>
        <v>0.57297480128530354</v>
      </c>
      <c r="D30" s="214">
        <f t="shared" ref="D30:I30" si="12">D29/D28</f>
        <v>0.82679291909559371</v>
      </c>
      <c r="E30" s="214">
        <f t="shared" si="12"/>
        <v>0.47935321907924666</v>
      </c>
      <c r="F30" s="214">
        <f t="shared" si="12"/>
        <v>0.40085440568921632</v>
      </c>
      <c r="G30" s="214">
        <f t="shared" si="12"/>
        <v>0.33666739146191194</v>
      </c>
      <c r="H30" s="214">
        <f t="shared" si="12"/>
        <v>0.3123142712183809</v>
      </c>
      <c r="I30" s="214">
        <f t="shared" si="12"/>
        <v>0.61430920033195391</v>
      </c>
      <c r="J30" s="192"/>
    </row>
    <row r="31" spans="1:11" x14ac:dyDescent="0.25">
      <c r="A31" s="150" t="s">
        <v>28</v>
      </c>
      <c r="B31" s="133" t="s">
        <v>29</v>
      </c>
      <c r="C31" s="151">
        <v>12.7</v>
      </c>
      <c r="D31" s="151">
        <v>17.7</v>
      </c>
      <c r="E31" s="151">
        <v>6.9</v>
      </c>
      <c r="F31" s="151">
        <v>5.7</v>
      </c>
      <c r="G31" s="151">
        <v>4.5</v>
      </c>
      <c r="H31" s="151">
        <v>2.7</v>
      </c>
      <c r="I31" s="154">
        <f t="shared" si="10"/>
        <v>50.2</v>
      </c>
      <c r="J31" s="192" t="s">
        <v>82</v>
      </c>
    </row>
    <row r="32" spans="1:11" x14ac:dyDescent="0.25">
      <c r="A32" s="150" t="s">
        <v>83</v>
      </c>
      <c r="B32" s="211" t="s">
        <v>9</v>
      </c>
      <c r="C32" s="200">
        <f t="shared" ref="C32:H32" si="13">C26*C31*8760/1000</f>
        <v>38.938199999999995</v>
      </c>
      <c r="D32" s="200">
        <f t="shared" si="13"/>
        <v>54.2682</v>
      </c>
      <c r="E32" s="200">
        <f t="shared" si="13"/>
        <v>21.1554</v>
      </c>
      <c r="F32" s="200">
        <f t="shared" si="13"/>
        <v>17.476200000000002</v>
      </c>
      <c r="G32" s="200">
        <f t="shared" si="13"/>
        <v>13.797000000000001</v>
      </c>
      <c r="H32" s="200">
        <f t="shared" si="13"/>
        <v>8.2781999999999982</v>
      </c>
      <c r="I32" s="212">
        <f t="shared" si="10"/>
        <v>153.91319999999999</v>
      </c>
      <c r="J32" s="192" t="s">
        <v>78</v>
      </c>
    </row>
    <row r="33" spans="1:39" x14ac:dyDescent="0.25">
      <c r="A33" s="96" t="s">
        <v>31</v>
      </c>
      <c r="B33" s="133" t="s">
        <v>32</v>
      </c>
      <c r="C33" s="177">
        <v>0.8</v>
      </c>
      <c r="D33" s="177">
        <v>0.9</v>
      </c>
      <c r="E33" s="177">
        <v>0.75</v>
      </c>
      <c r="F33" s="177">
        <v>0.75</v>
      </c>
      <c r="G33" s="177">
        <v>0.75</v>
      </c>
      <c r="H33" s="177">
        <v>0.75</v>
      </c>
      <c r="I33" s="177">
        <v>0.82499999999999996</v>
      </c>
      <c r="J33" s="192" t="s">
        <v>84</v>
      </c>
    </row>
    <row r="34" spans="1:39" x14ac:dyDescent="0.25">
      <c r="A34" s="96" t="s">
        <v>85</v>
      </c>
      <c r="B34" s="133" t="s">
        <v>9</v>
      </c>
      <c r="C34" s="136">
        <f>C32*(1-C33)</f>
        <v>7.787639999999997</v>
      </c>
      <c r="D34" s="136">
        <f t="shared" ref="D34:H34" si="14">D32*(1-D33)</f>
        <v>5.4268199999999984</v>
      </c>
      <c r="E34" s="136">
        <f t="shared" si="14"/>
        <v>5.2888500000000001</v>
      </c>
      <c r="F34" s="136">
        <f t="shared" si="14"/>
        <v>4.3690500000000005</v>
      </c>
      <c r="G34" s="136">
        <f t="shared" si="14"/>
        <v>3.4492500000000001</v>
      </c>
      <c r="H34" s="136">
        <f t="shared" si="14"/>
        <v>2.0695499999999996</v>
      </c>
      <c r="I34" s="135">
        <f t="shared" si="10"/>
        <v>28.391159999999996</v>
      </c>
      <c r="J34" s="192" t="s">
        <v>86</v>
      </c>
    </row>
    <row r="35" spans="1:39" x14ac:dyDescent="0.25">
      <c r="A35" s="96" t="s">
        <v>34</v>
      </c>
      <c r="B35" s="133"/>
      <c r="C35" s="144">
        <v>0.66600000000000004</v>
      </c>
      <c r="D35" s="144">
        <v>0.66600000000000004</v>
      </c>
      <c r="E35" s="144">
        <v>0.66600000000000004</v>
      </c>
      <c r="F35" s="144">
        <v>0.66600000000000004</v>
      </c>
      <c r="G35" s="144">
        <v>0.66600000000000004</v>
      </c>
      <c r="H35" s="144">
        <v>0.66600000000000004</v>
      </c>
      <c r="I35" s="145">
        <f>I36/I34</f>
        <v>0.66599999999999993</v>
      </c>
      <c r="J35" s="192" t="s">
        <v>87</v>
      </c>
    </row>
    <row r="36" spans="1:39" x14ac:dyDescent="0.25">
      <c r="A36" s="96" t="s">
        <v>35</v>
      </c>
      <c r="B36" s="133" t="s">
        <v>9</v>
      </c>
      <c r="C36" s="136">
        <f t="shared" ref="C36:H36" si="15">C34*C35</f>
        <v>5.1865682399999979</v>
      </c>
      <c r="D36" s="136">
        <f t="shared" si="15"/>
        <v>3.6142621199999994</v>
      </c>
      <c r="E36" s="136">
        <f t="shared" si="15"/>
        <v>3.5223741000000004</v>
      </c>
      <c r="F36" s="136">
        <f t="shared" si="15"/>
        <v>2.9097873000000005</v>
      </c>
      <c r="G36" s="136">
        <f t="shared" si="15"/>
        <v>2.2972005000000002</v>
      </c>
      <c r="H36" s="136">
        <f t="shared" si="15"/>
        <v>1.3783202999999997</v>
      </c>
      <c r="I36" s="135">
        <f t="shared" ref="I36:I52" si="16">SUM(C36:H36)</f>
        <v>18.908512559999995</v>
      </c>
      <c r="J36" s="192" t="s">
        <v>88</v>
      </c>
    </row>
    <row r="37" spans="1:39" x14ac:dyDescent="0.25">
      <c r="A37" s="96" t="s">
        <v>36</v>
      </c>
      <c r="B37" s="133" t="s">
        <v>9</v>
      </c>
      <c r="C37" s="136">
        <f t="shared" ref="C37:H37" si="17">C34-C36</f>
        <v>2.6010717599999991</v>
      </c>
      <c r="D37" s="136">
        <f t="shared" si="17"/>
        <v>1.8125578799999991</v>
      </c>
      <c r="E37" s="136">
        <f t="shared" si="17"/>
        <v>1.7664758999999997</v>
      </c>
      <c r="F37" s="136">
        <f t="shared" si="17"/>
        <v>1.4592627</v>
      </c>
      <c r="G37" s="136">
        <f t="shared" si="17"/>
        <v>1.1520494999999999</v>
      </c>
      <c r="H37" s="136">
        <f t="shared" si="17"/>
        <v>0.69122969999999984</v>
      </c>
      <c r="I37" s="135">
        <f t="shared" si="16"/>
        <v>9.4826474399999974</v>
      </c>
      <c r="J37" s="192" t="s">
        <v>89</v>
      </c>
    </row>
    <row r="38" spans="1:39" x14ac:dyDescent="0.25">
      <c r="A38" s="96" t="s">
        <v>37</v>
      </c>
      <c r="B38" s="133" t="s">
        <v>38</v>
      </c>
      <c r="C38" s="138">
        <f>(C36+C37)*1000/365/8</f>
        <v>2.6669999999999989</v>
      </c>
      <c r="D38" s="138">
        <f t="shared" ref="D38:H38" si="18">D36*1000/365/8</f>
        <v>1.2377609999999999</v>
      </c>
      <c r="E38" s="138">
        <f t="shared" si="18"/>
        <v>1.2062925000000002</v>
      </c>
      <c r="F38" s="138">
        <f t="shared" si="18"/>
        <v>0.99650250000000018</v>
      </c>
      <c r="G38" s="138">
        <f t="shared" si="18"/>
        <v>0.78671250000000015</v>
      </c>
      <c r="H38" s="138">
        <f t="shared" si="18"/>
        <v>0.47202749999999988</v>
      </c>
      <c r="I38" s="139">
        <f t="shared" si="16"/>
        <v>7.3662959999999993</v>
      </c>
      <c r="J38" s="192" t="s">
        <v>90</v>
      </c>
      <c r="K38" s="30"/>
      <c r="L38" s="30"/>
      <c r="M38" s="30"/>
      <c r="N38" s="30"/>
      <c r="O38" s="30"/>
      <c r="P38" s="30"/>
    </row>
    <row r="39" spans="1:39" x14ac:dyDescent="0.25">
      <c r="A39" s="96" t="s">
        <v>39</v>
      </c>
      <c r="B39" s="133" t="s">
        <v>38</v>
      </c>
      <c r="C39" s="138">
        <v>0.44</v>
      </c>
      <c r="D39" s="138">
        <v>0.24</v>
      </c>
      <c r="E39" s="138">
        <v>0.23</v>
      </c>
      <c r="F39" s="138">
        <v>0.25</v>
      </c>
      <c r="G39" s="138">
        <v>0.24</v>
      </c>
      <c r="H39" s="138">
        <v>0.10199999999999999</v>
      </c>
      <c r="I39" s="139">
        <f t="shared" si="16"/>
        <v>1.502</v>
      </c>
      <c r="J39" s="194" t="s">
        <v>91</v>
      </c>
      <c r="K39" s="30"/>
      <c r="L39" s="30"/>
      <c r="M39" s="30"/>
      <c r="N39" s="30"/>
      <c r="O39" s="30"/>
      <c r="P39" s="30"/>
      <c r="Q39" s="30"/>
    </row>
    <row r="40" spans="1:39" x14ac:dyDescent="0.25">
      <c r="A40" s="96" t="s">
        <v>40</v>
      </c>
      <c r="B40" s="133" t="s">
        <v>9</v>
      </c>
      <c r="C40" s="138">
        <f>0.369+0.354</f>
        <v>0.72299999999999998</v>
      </c>
      <c r="D40" s="138">
        <v>0.34699999999999998</v>
      </c>
      <c r="E40" s="138">
        <v>0.34699999999999998</v>
      </c>
      <c r="F40" s="138">
        <v>0.31900000000000001</v>
      </c>
      <c r="G40" s="138">
        <v>0.16900000000000001</v>
      </c>
      <c r="H40" s="138">
        <v>0.106</v>
      </c>
      <c r="I40" s="139">
        <f t="shared" si="16"/>
        <v>2.0109999999999997</v>
      </c>
      <c r="J40" s="192" t="s">
        <v>92</v>
      </c>
      <c r="K40" s="30"/>
      <c r="L40" s="30"/>
      <c r="M40" s="30"/>
      <c r="N40" s="30"/>
      <c r="O40" s="30"/>
      <c r="P40" s="30"/>
      <c r="Q40" s="30"/>
    </row>
    <row r="41" spans="1:39" x14ac:dyDescent="0.25">
      <c r="A41" s="96" t="s">
        <v>93</v>
      </c>
      <c r="B41" s="133" t="s">
        <v>9</v>
      </c>
      <c r="C41" s="138">
        <f>C39*5*365/1000+C40</f>
        <v>1.5260000000000002</v>
      </c>
      <c r="D41" s="138">
        <f t="shared" ref="D41:H41" si="19">D39*5*365/1000+D40</f>
        <v>0.78499999999999992</v>
      </c>
      <c r="E41" s="138">
        <f t="shared" si="19"/>
        <v>0.76675000000000004</v>
      </c>
      <c r="F41" s="138">
        <f t="shared" si="19"/>
        <v>0.77524999999999999</v>
      </c>
      <c r="G41" s="138">
        <f t="shared" si="19"/>
        <v>0.60699999999999998</v>
      </c>
      <c r="H41" s="138">
        <f t="shared" si="19"/>
        <v>0.29215000000000002</v>
      </c>
      <c r="I41" s="139">
        <f t="shared" si="16"/>
        <v>4.7521500000000003</v>
      </c>
      <c r="J41" s="194" t="s">
        <v>94</v>
      </c>
      <c r="K41" s="30"/>
      <c r="L41" s="30"/>
      <c r="M41" s="30"/>
      <c r="N41" s="30"/>
      <c r="O41" s="30"/>
      <c r="P41" s="30"/>
      <c r="Q41" s="30"/>
    </row>
    <row r="42" spans="1:39" x14ac:dyDescent="0.25">
      <c r="A42" s="96" t="s">
        <v>42</v>
      </c>
      <c r="B42" s="137" t="s">
        <v>14</v>
      </c>
      <c r="C42" s="138">
        <f>88.95+9.55</f>
        <v>98.5</v>
      </c>
      <c r="D42" s="138">
        <v>108.2</v>
      </c>
      <c r="E42" s="138">
        <f>D42</f>
        <v>108.2</v>
      </c>
      <c r="F42" s="138">
        <f>121.8</f>
        <v>121.8</v>
      </c>
      <c r="G42" s="138">
        <f>121.8</f>
        <v>121.8</v>
      </c>
      <c r="H42" s="138">
        <f>121.8</f>
        <v>121.8</v>
      </c>
      <c r="I42" s="138"/>
      <c r="J42" s="192" t="s">
        <v>95</v>
      </c>
      <c r="K42" s="30"/>
      <c r="L42" s="30"/>
      <c r="M42" s="30"/>
      <c r="N42" s="30"/>
      <c r="O42" s="30"/>
      <c r="P42" s="30"/>
      <c r="Q42" s="30"/>
    </row>
    <row r="43" spans="1:39" x14ac:dyDescent="0.25">
      <c r="A43" s="96" t="s">
        <v>43</v>
      </c>
      <c r="B43" s="133" t="s">
        <v>13</v>
      </c>
      <c r="C43" s="138">
        <f>C41*C42/1000</f>
        <v>0.15031100000000003</v>
      </c>
      <c r="D43" s="138">
        <f t="shared" ref="D43:H43" si="20">D41*D42/1000</f>
        <v>8.4936999999999999E-2</v>
      </c>
      <c r="E43" s="138">
        <f t="shared" si="20"/>
        <v>8.2962350000000004E-2</v>
      </c>
      <c r="F43" s="138">
        <f t="shared" si="20"/>
        <v>9.4425449999999994E-2</v>
      </c>
      <c r="G43" s="138">
        <f t="shared" si="20"/>
        <v>7.3932599999999987E-2</v>
      </c>
      <c r="H43" s="138">
        <f t="shared" si="20"/>
        <v>3.5583870000000004E-2</v>
      </c>
      <c r="I43" s="139">
        <f t="shared" si="16"/>
        <v>0.52215226999999997</v>
      </c>
      <c r="J43" s="194"/>
      <c r="K43" s="30"/>
      <c r="L43" s="30"/>
      <c r="M43" s="30"/>
      <c r="N43" s="30"/>
      <c r="O43" s="30"/>
      <c r="P43" s="30"/>
      <c r="Q43" s="30"/>
    </row>
    <row r="44" spans="1:39" x14ac:dyDescent="0.25">
      <c r="A44" s="96"/>
      <c r="B44" s="133"/>
      <c r="C44" s="138"/>
      <c r="D44" s="136"/>
      <c r="E44" s="136"/>
      <c r="F44" s="136"/>
      <c r="G44" s="136"/>
      <c r="H44" s="136"/>
      <c r="I44" s="135"/>
      <c r="J44" s="194"/>
      <c r="K44" s="30"/>
      <c r="L44" s="30"/>
      <c r="M44" s="30"/>
      <c r="N44" s="30"/>
      <c r="O44" s="30"/>
      <c r="P44" s="30"/>
      <c r="Q44" s="30"/>
    </row>
    <row r="45" spans="1:39" x14ac:dyDescent="0.25">
      <c r="A45" s="96" t="s">
        <v>44</v>
      </c>
      <c r="B45" s="133" t="s">
        <v>38</v>
      </c>
      <c r="C45" s="138">
        <f>(C36+C37)*1000/365/16</f>
        <v>1.3334999999999995</v>
      </c>
      <c r="D45" s="138">
        <f>(D34*(1-D35)*1000/365/16)</f>
        <v>0.31036949999999991</v>
      </c>
      <c r="E45" s="138">
        <f>(E34*(1-E35)*1000/365/16)</f>
        <v>0.30247874999999996</v>
      </c>
      <c r="F45" s="138">
        <f>(F34*(1-F35)*1000/365/16)</f>
        <v>0.24987375000000001</v>
      </c>
      <c r="G45" s="138">
        <f>(G34*(1-G35)*1000/365/16)</f>
        <v>0.19726874999999996</v>
      </c>
      <c r="H45" s="138">
        <f>(H34*(1-H35)*1000/365/16)</f>
        <v>0.11836124999999996</v>
      </c>
      <c r="I45" s="139">
        <f t="shared" si="16"/>
        <v>2.5118519999999993</v>
      </c>
      <c r="J45" s="192" t="s">
        <v>96</v>
      </c>
      <c r="K45" s="30"/>
      <c r="L45" s="30"/>
      <c r="M45" s="30"/>
      <c r="N45" s="30"/>
      <c r="O45" s="30"/>
      <c r="P45" s="30"/>
    </row>
    <row r="46" spans="1:39" x14ac:dyDescent="0.25">
      <c r="A46" s="96" t="s">
        <v>45</v>
      </c>
      <c r="B46" s="133" t="s">
        <v>38</v>
      </c>
      <c r="C46" s="138">
        <f>C39/2</f>
        <v>0.22</v>
      </c>
      <c r="D46" s="138">
        <f>D39/2</f>
        <v>0.12</v>
      </c>
      <c r="E46" s="138">
        <f>E39/2</f>
        <v>0.115</v>
      </c>
      <c r="F46" s="138">
        <f>F39/2</f>
        <v>0.125</v>
      </c>
      <c r="G46" s="138">
        <f t="shared" ref="G46:H46" si="21">G39/2</f>
        <v>0.12</v>
      </c>
      <c r="H46" s="138">
        <f t="shared" si="21"/>
        <v>5.0999999999999997E-2</v>
      </c>
      <c r="I46" s="139">
        <f t="shared" si="16"/>
        <v>0.751</v>
      </c>
      <c r="J46" s="195" t="s">
        <v>97</v>
      </c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</row>
    <row r="47" spans="1:39" x14ac:dyDescent="0.25">
      <c r="A47" s="96" t="s">
        <v>40</v>
      </c>
      <c r="B47" s="133" t="s">
        <v>9</v>
      </c>
      <c r="C47" s="138">
        <f>C40</f>
        <v>0.72299999999999998</v>
      </c>
      <c r="D47" s="138">
        <f t="shared" ref="D47:H47" si="22">D40</f>
        <v>0.34699999999999998</v>
      </c>
      <c r="E47" s="138">
        <f t="shared" si="22"/>
        <v>0.34699999999999998</v>
      </c>
      <c r="F47" s="138">
        <f t="shared" si="22"/>
        <v>0.31900000000000001</v>
      </c>
      <c r="G47" s="138">
        <f t="shared" si="22"/>
        <v>0.16900000000000001</v>
      </c>
      <c r="H47" s="138">
        <f t="shared" si="22"/>
        <v>0.106</v>
      </c>
      <c r="I47" s="139">
        <f>SUM(C47:H47)</f>
        <v>2.0109999999999997</v>
      </c>
      <c r="J47" s="192" t="s">
        <v>92</v>
      </c>
      <c r="K47" s="126"/>
      <c r="L47" s="126"/>
      <c r="M47" s="126"/>
      <c r="N47" s="126"/>
      <c r="O47" s="126"/>
      <c r="P47" s="126"/>
      <c r="Q47" s="126"/>
    </row>
    <row r="48" spans="1:39" x14ac:dyDescent="0.25">
      <c r="A48" s="96" t="s">
        <v>46</v>
      </c>
      <c r="B48" s="133" t="s">
        <v>9</v>
      </c>
      <c r="C48" s="138">
        <f>C46*10*365/1000+C47</f>
        <v>1.5260000000000002</v>
      </c>
      <c r="D48" s="138">
        <f t="shared" ref="D48:H48" si="23">D46*10*365/1000+D47</f>
        <v>0.78499999999999992</v>
      </c>
      <c r="E48" s="138">
        <f t="shared" si="23"/>
        <v>0.76675000000000004</v>
      </c>
      <c r="F48" s="138">
        <f t="shared" si="23"/>
        <v>0.77524999999999999</v>
      </c>
      <c r="G48" s="138">
        <f t="shared" si="23"/>
        <v>0.60699999999999998</v>
      </c>
      <c r="H48" s="138">
        <f t="shared" si="23"/>
        <v>0.29215000000000002</v>
      </c>
      <c r="I48" s="135">
        <f t="shared" si="16"/>
        <v>4.7521500000000003</v>
      </c>
      <c r="J48" s="192" t="s">
        <v>98</v>
      </c>
      <c r="K48" s="30"/>
    </row>
    <row r="49" spans="1:16" x14ac:dyDescent="0.25">
      <c r="A49" s="96" t="s">
        <v>47</v>
      </c>
      <c r="B49" s="137" t="s">
        <v>14</v>
      </c>
      <c r="C49" s="138">
        <f>115.88+9.55</f>
        <v>125.42999999999999</v>
      </c>
      <c r="D49" s="138">
        <v>154.69999999999999</v>
      </c>
      <c r="E49" s="138">
        <f>D49</f>
        <v>154.69999999999999</v>
      </c>
      <c r="F49" s="138">
        <f>1.32*F42</f>
        <v>160.77600000000001</v>
      </c>
      <c r="G49" s="138">
        <f>1.32*G42</f>
        <v>160.77600000000001</v>
      </c>
      <c r="H49" s="138">
        <f>1.32*H42</f>
        <v>160.77600000000001</v>
      </c>
      <c r="I49" s="138"/>
      <c r="J49" s="192" t="s">
        <v>95</v>
      </c>
      <c r="K49" s="30"/>
    </row>
    <row r="50" spans="1:16" x14ac:dyDescent="0.25">
      <c r="A50" s="96" t="s">
        <v>48</v>
      </c>
      <c r="B50" s="133" t="s">
        <v>13</v>
      </c>
      <c r="C50" s="138">
        <f>C48*C49/1000</f>
        <v>0.19140618000000001</v>
      </c>
      <c r="D50" s="138">
        <f t="shared" ref="D50" si="24">D48*D49/1000</f>
        <v>0.12143949999999998</v>
      </c>
      <c r="E50" s="138">
        <f t="shared" ref="E50" si="25">E48*E49/1000</f>
        <v>0.11861622500000001</v>
      </c>
      <c r="F50" s="138">
        <f t="shared" ref="F50" si="26">F48*F49/1000</f>
        <v>0.12464159400000001</v>
      </c>
      <c r="G50" s="138">
        <f t="shared" ref="G50" si="27">G48*G49/1000</f>
        <v>9.7591031999999994E-2</v>
      </c>
      <c r="H50" s="138">
        <f t="shared" ref="H50" si="28">H48*H49/1000</f>
        <v>4.6970708400000005E-2</v>
      </c>
      <c r="I50" s="139">
        <f t="shared" ref="I50" si="29">SUM(C50:H50)</f>
        <v>0.70066523939999992</v>
      </c>
      <c r="J50" s="192"/>
      <c r="K50" s="30"/>
    </row>
    <row r="51" spans="1:16" x14ac:dyDescent="0.25">
      <c r="A51" s="96"/>
      <c r="B51" s="133"/>
      <c r="C51" s="138"/>
      <c r="D51" s="138"/>
      <c r="E51" s="138"/>
      <c r="F51" s="138"/>
      <c r="G51" s="138"/>
      <c r="H51" s="138"/>
      <c r="I51" s="139"/>
      <c r="J51" s="192"/>
      <c r="K51" s="30"/>
    </row>
    <row r="52" spans="1:16" x14ac:dyDescent="0.25">
      <c r="A52" s="96" t="s">
        <v>49</v>
      </c>
      <c r="B52" s="133" t="s">
        <v>9</v>
      </c>
      <c r="C52" s="138">
        <f>C41+C48</f>
        <v>3.0520000000000005</v>
      </c>
      <c r="D52" s="138">
        <f t="shared" ref="D52:H52" si="30">D41+D48</f>
        <v>1.5699999999999998</v>
      </c>
      <c r="E52" s="138">
        <f t="shared" si="30"/>
        <v>1.5335000000000001</v>
      </c>
      <c r="F52" s="138">
        <f t="shared" si="30"/>
        <v>1.5505</v>
      </c>
      <c r="G52" s="138">
        <f t="shared" si="30"/>
        <v>1.214</v>
      </c>
      <c r="H52" s="138">
        <f t="shared" si="30"/>
        <v>0.58430000000000004</v>
      </c>
      <c r="I52" s="139">
        <f t="shared" si="16"/>
        <v>9.5043000000000006</v>
      </c>
      <c r="J52" s="192" t="s">
        <v>99</v>
      </c>
    </row>
    <row r="53" spans="1:16" x14ac:dyDescent="0.25">
      <c r="A53" s="96" t="s">
        <v>50</v>
      </c>
      <c r="B53" s="133" t="s">
        <v>13</v>
      </c>
      <c r="C53" s="138">
        <f t="shared" ref="C53:H53" si="31">C43+C50</f>
        <v>0.34171718000000006</v>
      </c>
      <c r="D53" s="138">
        <f t="shared" si="31"/>
        <v>0.20637649999999996</v>
      </c>
      <c r="E53" s="138">
        <f t="shared" si="31"/>
        <v>0.20157857500000001</v>
      </c>
      <c r="F53" s="138">
        <f t="shared" si="31"/>
        <v>0.21906704399999999</v>
      </c>
      <c r="G53" s="138">
        <f t="shared" si="31"/>
        <v>0.17152363199999998</v>
      </c>
      <c r="H53" s="138">
        <f t="shared" si="31"/>
        <v>8.2554578400000009E-2</v>
      </c>
      <c r="I53" s="139">
        <f t="shared" ref="I53" si="32">SUM(C53:H53)</f>
        <v>1.2228175094</v>
      </c>
      <c r="K53" s="31"/>
      <c r="L53" s="31"/>
      <c r="M53" s="31"/>
      <c r="N53" s="31"/>
      <c r="O53" s="31"/>
      <c r="P53" s="31"/>
    </row>
    <row r="54" spans="1:16" x14ac:dyDescent="0.25">
      <c r="A54" s="96" t="s">
        <v>51</v>
      </c>
      <c r="B54" s="137" t="s">
        <v>14</v>
      </c>
      <c r="C54" s="138">
        <f>C53/C52*1000</f>
        <v>111.965</v>
      </c>
      <c r="D54" s="138">
        <f t="shared" ref="D54:I54" si="33">D53/D52*1000</f>
        <v>131.44999999999999</v>
      </c>
      <c r="E54" s="138">
        <f t="shared" si="33"/>
        <v>131.45000000000002</v>
      </c>
      <c r="F54" s="138">
        <f t="shared" si="33"/>
        <v>141.28800000000001</v>
      </c>
      <c r="G54" s="138">
        <f t="shared" si="33"/>
        <v>141.28800000000001</v>
      </c>
      <c r="H54" s="138">
        <f t="shared" si="33"/>
        <v>141.28800000000001</v>
      </c>
      <c r="I54" s="138">
        <f t="shared" si="33"/>
        <v>128.6593972622918</v>
      </c>
      <c r="J54" s="192" t="s">
        <v>100</v>
      </c>
      <c r="K54" s="30"/>
    </row>
    <row r="55" spans="1:16" x14ac:dyDescent="0.25">
      <c r="A55" s="96"/>
      <c r="B55" s="137"/>
      <c r="C55" s="138"/>
      <c r="D55" s="138"/>
      <c r="E55" s="138"/>
      <c r="F55" s="138"/>
      <c r="G55" s="138"/>
      <c r="H55" s="138"/>
      <c r="I55" s="138"/>
      <c r="J55" s="192"/>
      <c r="K55" s="30"/>
    </row>
    <row r="56" spans="1:16" x14ac:dyDescent="0.25">
      <c r="A56" s="96" t="s">
        <v>101</v>
      </c>
      <c r="B56" s="137" t="s">
        <v>14</v>
      </c>
      <c r="C56" s="138">
        <f>-112.38</f>
        <v>-112.38</v>
      </c>
      <c r="D56" s="138">
        <f>C56</f>
        <v>-112.38</v>
      </c>
      <c r="E56" s="138">
        <f>C56</f>
        <v>-112.38</v>
      </c>
      <c r="F56" s="138">
        <f>E56</f>
        <v>-112.38</v>
      </c>
      <c r="G56" s="138">
        <f t="shared" ref="G56:H56" si="34">E56</f>
        <v>-112.38</v>
      </c>
      <c r="H56" s="138">
        <f t="shared" si="34"/>
        <v>-112.38</v>
      </c>
      <c r="I56" s="138"/>
      <c r="J56" s="192" t="s">
        <v>102</v>
      </c>
    </row>
    <row r="57" spans="1:16" x14ac:dyDescent="0.25">
      <c r="A57" s="96" t="s">
        <v>103</v>
      </c>
      <c r="B57" s="137" t="s">
        <v>14</v>
      </c>
      <c r="C57" s="138">
        <f>C56*(1.0125^4)</f>
        <v>-118.10523696240233</v>
      </c>
      <c r="D57" s="138">
        <f t="shared" ref="D57:H57" si="35">D56*(1.0125^4)</f>
        <v>-118.10523696240233</v>
      </c>
      <c r="E57" s="138">
        <f t="shared" si="35"/>
        <v>-118.10523696240233</v>
      </c>
      <c r="F57" s="138">
        <f t="shared" si="35"/>
        <v>-118.10523696240233</v>
      </c>
      <c r="G57" s="138">
        <f t="shared" si="35"/>
        <v>-118.10523696240233</v>
      </c>
      <c r="H57" s="138">
        <f t="shared" si="35"/>
        <v>-118.10523696240233</v>
      </c>
      <c r="I57" s="138"/>
      <c r="J57" s="192" t="s">
        <v>104</v>
      </c>
      <c r="K57" s="127"/>
    </row>
    <row r="58" spans="1:16" x14ac:dyDescent="0.25">
      <c r="A58" s="96" t="s">
        <v>53</v>
      </c>
      <c r="B58" s="133" t="s">
        <v>13</v>
      </c>
      <c r="C58" s="138">
        <v>0</v>
      </c>
      <c r="D58" s="143">
        <f>D57*D52/1000/3.6/20</f>
        <v>-2.5753503059857174E-3</v>
      </c>
      <c r="E58" s="138">
        <v>0</v>
      </c>
      <c r="F58" s="138">
        <v>0</v>
      </c>
      <c r="G58" s="138">
        <v>0</v>
      </c>
      <c r="H58" s="138">
        <v>0</v>
      </c>
      <c r="I58" s="139">
        <f>SUM(C58:H58)</f>
        <v>-2.5753503059857174E-3</v>
      </c>
      <c r="J58" s="192" t="s">
        <v>105</v>
      </c>
    </row>
    <row r="59" spans="1:16" x14ac:dyDescent="0.25">
      <c r="A59" s="96"/>
      <c r="B59" s="133"/>
      <c r="C59" s="138"/>
      <c r="D59" s="138"/>
      <c r="E59" s="139"/>
      <c r="F59" s="139"/>
      <c r="G59" s="139"/>
      <c r="H59" s="139"/>
      <c r="I59" s="139"/>
      <c r="J59" s="192" t="s">
        <v>106</v>
      </c>
    </row>
    <row r="60" spans="1:16" x14ac:dyDescent="0.25">
      <c r="A60" s="96" t="s">
        <v>54</v>
      </c>
      <c r="B60" s="133" t="s">
        <v>9</v>
      </c>
      <c r="C60" s="138">
        <f>C48-C47+C41-C40</f>
        <v>1.6060000000000008</v>
      </c>
      <c r="D60" s="138">
        <f t="shared" ref="D60:H60" si="36">D48-D47+D41-D40</f>
        <v>0.87599999999999989</v>
      </c>
      <c r="E60" s="138">
        <f t="shared" si="36"/>
        <v>0.83950000000000014</v>
      </c>
      <c r="F60" s="138">
        <f t="shared" si="36"/>
        <v>0.91250000000000009</v>
      </c>
      <c r="G60" s="138">
        <f t="shared" si="36"/>
        <v>0.87599999999999989</v>
      </c>
      <c r="H60" s="138">
        <f t="shared" si="36"/>
        <v>0.37230000000000008</v>
      </c>
      <c r="I60" s="139">
        <f t="shared" ref="I60:I65" si="37">SUM(C60:H60)</f>
        <v>5.4823000000000013</v>
      </c>
      <c r="J60" s="192" t="s">
        <v>100</v>
      </c>
    </row>
    <row r="61" spans="1:16" x14ac:dyDescent="0.25">
      <c r="A61" s="96" t="s">
        <v>22</v>
      </c>
      <c r="B61" s="133" t="s">
        <v>9</v>
      </c>
      <c r="C61" s="138">
        <f>-0.144*C60</f>
        <v>-0.23126400000000008</v>
      </c>
      <c r="D61" s="138">
        <f t="shared" ref="D61:H61" si="38">-0.144*D60</f>
        <v>-0.12614399999999998</v>
      </c>
      <c r="E61" s="138">
        <f t="shared" si="38"/>
        <v>-0.12088800000000001</v>
      </c>
      <c r="F61" s="138">
        <f t="shared" si="38"/>
        <v>-0.13139999999999999</v>
      </c>
      <c r="G61" s="138">
        <f t="shared" si="38"/>
        <v>-0.12614399999999998</v>
      </c>
      <c r="H61" s="138">
        <f t="shared" si="38"/>
        <v>-5.3611200000000005E-2</v>
      </c>
      <c r="I61" s="139">
        <f t="shared" si="37"/>
        <v>-0.78945120000000002</v>
      </c>
      <c r="J61" s="192"/>
    </row>
    <row r="62" spans="1:16" x14ac:dyDescent="0.25">
      <c r="A62" s="224" t="s">
        <v>55</v>
      </c>
      <c r="B62" s="137" t="s">
        <v>9</v>
      </c>
      <c r="C62" s="138">
        <f>SUM(C60:C61)</f>
        <v>1.3747360000000006</v>
      </c>
      <c r="D62" s="138">
        <f t="shared" ref="D62:H62" si="39">SUM(D60:D61)</f>
        <v>0.74985599999999986</v>
      </c>
      <c r="E62" s="138">
        <f t="shared" si="39"/>
        <v>0.71861200000000014</v>
      </c>
      <c r="F62" s="138">
        <f t="shared" si="39"/>
        <v>0.78110000000000013</v>
      </c>
      <c r="G62" s="138">
        <f t="shared" si="39"/>
        <v>0.74985599999999986</v>
      </c>
      <c r="H62" s="138">
        <f t="shared" si="39"/>
        <v>0.31868880000000005</v>
      </c>
      <c r="I62" s="139">
        <f t="shared" si="37"/>
        <v>4.6928488000000019</v>
      </c>
      <c r="J62" s="192" t="s">
        <v>107</v>
      </c>
    </row>
    <row r="63" spans="1:16" x14ac:dyDescent="0.25">
      <c r="A63" s="224" t="s">
        <v>55</v>
      </c>
      <c r="B63" s="133" t="s">
        <v>13</v>
      </c>
      <c r="C63" s="138">
        <f t="shared" ref="C63:H63" si="40">C15*C62/1000</f>
        <v>0.18667540144000008</v>
      </c>
      <c r="D63" s="138">
        <f t="shared" si="40"/>
        <v>0.10276026623999998</v>
      </c>
      <c r="E63" s="138">
        <f t="shared" si="40"/>
        <v>0.11065187576</v>
      </c>
      <c r="F63" s="138">
        <f t="shared" si="40"/>
        <v>0.12325758000000003</v>
      </c>
      <c r="G63" s="138">
        <f t="shared" si="40"/>
        <v>0.14373989663999998</v>
      </c>
      <c r="H63" s="138">
        <f t="shared" si="40"/>
        <v>6.2695647624000012E-2</v>
      </c>
      <c r="I63" s="139">
        <f t="shared" si="37"/>
        <v>0.72978066770400019</v>
      </c>
      <c r="J63" s="192"/>
    </row>
    <row r="64" spans="1:16" x14ac:dyDescent="0.25">
      <c r="A64" s="96" t="s">
        <v>56</v>
      </c>
      <c r="B64" s="133" t="s">
        <v>13</v>
      </c>
      <c r="C64" s="138">
        <f>-(C63-C53-C58)</f>
        <v>0.15504177855999998</v>
      </c>
      <c r="D64" s="138">
        <f t="shared" ref="D64:H64" si="41">-(D63-D53-D58)</f>
        <v>0.10104088345401427</v>
      </c>
      <c r="E64" s="138">
        <f t="shared" si="41"/>
        <v>9.0926699240000006E-2</v>
      </c>
      <c r="F64" s="138">
        <f t="shared" si="41"/>
        <v>9.5809463999999955E-2</v>
      </c>
      <c r="G64" s="138">
        <f t="shared" si="41"/>
        <v>2.7783735360000006E-2</v>
      </c>
      <c r="H64" s="138">
        <f t="shared" si="41"/>
        <v>1.9858930775999997E-2</v>
      </c>
      <c r="I64" s="139">
        <f t="shared" si="37"/>
        <v>0.49046149139001421</v>
      </c>
      <c r="J64" s="192"/>
    </row>
    <row r="65" spans="1:10" x14ac:dyDescent="0.25">
      <c r="A65" s="96" t="s">
        <v>108</v>
      </c>
      <c r="B65" s="137" t="s">
        <v>9</v>
      </c>
      <c r="C65" s="138">
        <f>C20+C62</f>
        <v>2.7779768000000007</v>
      </c>
      <c r="D65" s="138">
        <f t="shared" ref="D65:H65" si="42">D20+D62</f>
        <v>2.2547039999999998</v>
      </c>
      <c r="E65" s="138">
        <f t="shared" si="42"/>
        <v>3.1248280000000004</v>
      </c>
      <c r="F65" s="138">
        <f t="shared" si="42"/>
        <v>3.1038560000000004</v>
      </c>
      <c r="G65" s="138">
        <f t="shared" si="42"/>
        <v>1.7357111999999999</v>
      </c>
      <c r="H65" s="138">
        <f t="shared" si="42"/>
        <v>0.91095520000000008</v>
      </c>
      <c r="I65" s="139">
        <f t="shared" si="37"/>
        <v>13.9080312</v>
      </c>
      <c r="J65" s="192"/>
    </row>
    <row r="66" spans="1:10" x14ac:dyDescent="0.25">
      <c r="A66" s="120" t="s">
        <v>109</v>
      </c>
      <c r="B66" s="140" t="s">
        <v>9</v>
      </c>
      <c r="C66" s="139">
        <f t="shared" ref="C66:I66" si="43">C22+C62</f>
        <v>36.178976799999994</v>
      </c>
      <c r="D66" s="139">
        <f t="shared" si="43"/>
        <v>18.810704000000001</v>
      </c>
      <c r="E66" s="139">
        <f t="shared" si="43"/>
        <v>14.190828000000002</v>
      </c>
      <c r="F66" s="139">
        <f t="shared" si="43"/>
        <v>13.331856</v>
      </c>
      <c r="G66" s="139">
        <f t="shared" si="43"/>
        <v>6.4837112000000001</v>
      </c>
      <c r="H66" s="139">
        <f t="shared" si="43"/>
        <v>3.5949551999999998</v>
      </c>
      <c r="I66" s="139">
        <f t="shared" si="43"/>
        <v>92.591031200000003</v>
      </c>
      <c r="J66" s="192"/>
    </row>
    <row r="67" spans="1:10" x14ac:dyDescent="0.25">
      <c r="A67" s="96" t="s">
        <v>110</v>
      </c>
      <c r="B67" s="133" t="s">
        <v>13</v>
      </c>
      <c r="C67" s="138">
        <f t="shared" ref="C67:H67" si="44">C23+C64</f>
        <v>4.8811096367919991</v>
      </c>
      <c r="D67" s="138">
        <f t="shared" si="44"/>
        <v>2.5760994933740142</v>
      </c>
      <c r="E67" s="138">
        <f t="shared" si="44"/>
        <v>2.1653785189200003</v>
      </c>
      <c r="F67" s="138">
        <f t="shared" si="44"/>
        <v>2.0763187608</v>
      </c>
      <c r="G67" s="138">
        <f t="shared" si="44"/>
        <v>1.1269064386480001</v>
      </c>
      <c r="H67" s="138">
        <f t="shared" si="44"/>
        <v>0.66439881964799996</v>
      </c>
      <c r="I67" s="139">
        <f>SUM(C67:H67)</f>
        <v>13.490211668182013</v>
      </c>
      <c r="J67" s="192"/>
    </row>
    <row r="68" spans="1:10" x14ac:dyDescent="0.25">
      <c r="A68" s="96"/>
      <c r="B68" s="137"/>
      <c r="C68" s="138"/>
      <c r="D68" s="138"/>
      <c r="E68" s="138"/>
      <c r="F68" s="138"/>
      <c r="G68" s="138"/>
      <c r="H68" s="138"/>
      <c r="I68" s="139"/>
      <c r="J68" s="192"/>
    </row>
    <row r="69" spans="1:10" x14ac:dyDescent="0.25">
      <c r="A69" s="97"/>
      <c r="B69" s="97"/>
      <c r="C69" s="197"/>
      <c r="D69" s="97"/>
      <c r="E69" s="97"/>
      <c r="F69" s="97"/>
      <c r="G69" s="97"/>
      <c r="H69" s="97"/>
      <c r="I69" s="97"/>
      <c r="J69" s="192"/>
    </row>
    <row r="70" spans="1:10" x14ac:dyDescent="0.25">
      <c r="A70" s="146" t="s">
        <v>111</v>
      </c>
      <c r="B70" s="140"/>
      <c r="C70" s="139"/>
      <c r="D70" s="139"/>
      <c r="E70" s="139"/>
      <c r="F70" s="139"/>
      <c r="G70" s="139"/>
      <c r="H70" s="139"/>
      <c r="I70" s="139"/>
      <c r="J70" s="192" t="s">
        <v>112</v>
      </c>
    </row>
    <row r="71" spans="1:10" x14ac:dyDescent="0.25">
      <c r="A71" s="96" t="s">
        <v>113</v>
      </c>
      <c r="B71" s="133" t="s">
        <v>9</v>
      </c>
      <c r="C71" s="138">
        <f t="shared" ref="C71:H71" si="45">C7</f>
        <v>151</v>
      </c>
      <c r="D71" s="138">
        <f t="shared" si="45"/>
        <v>97</v>
      </c>
      <c r="E71" s="138">
        <f t="shared" si="45"/>
        <v>48</v>
      </c>
      <c r="F71" s="138">
        <f t="shared" si="45"/>
        <v>49.2</v>
      </c>
      <c r="G71" s="138">
        <f t="shared" si="45"/>
        <v>25</v>
      </c>
      <c r="H71" s="138">
        <f t="shared" si="45"/>
        <v>17.7</v>
      </c>
      <c r="I71" s="138">
        <f>SUM(C71:H71)</f>
        <v>387.9</v>
      </c>
      <c r="J71" s="192" t="s">
        <v>114</v>
      </c>
    </row>
    <row r="72" spans="1:10" x14ac:dyDescent="0.25">
      <c r="A72" s="96" t="s">
        <v>115</v>
      </c>
      <c r="B72" s="133"/>
      <c r="C72" s="138">
        <v>0</v>
      </c>
      <c r="D72" s="138">
        <v>0</v>
      </c>
      <c r="E72" s="138">
        <f>2.66*4</f>
        <v>10.64</v>
      </c>
      <c r="F72" s="138">
        <f>E72</f>
        <v>10.64</v>
      </c>
      <c r="G72" s="138">
        <f>2.66*2</f>
        <v>5.32</v>
      </c>
      <c r="H72" s="138">
        <f>2.66</f>
        <v>2.66</v>
      </c>
      <c r="I72" s="138"/>
      <c r="J72" s="192"/>
    </row>
    <row r="73" spans="1:10" x14ac:dyDescent="0.25">
      <c r="A73" s="96" t="s">
        <v>116</v>
      </c>
      <c r="B73" s="133" t="s">
        <v>38</v>
      </c>
      <c r="C73" s="138">
        <f>7.7*0.4</f>
        <v>3.08</v>
      </c>
      <c r="D73" s="138">
        <f>6.1*0.4</f>
        <v>2.44</v>
      </c>
      <c r="E73" s="138">
        <f>E72/2.8</f>
        <v>3.8000000000000003</v>
      </c>
      <c r="F73" s="138">
        <f t="shared" ref="F73:H73" si="46">F72/2.8</f>
        <v>3.8000000000000003</v>
      </c>
      <c r="G73" s="138">
        <f t="shared" si="46"/>
        <v>1.9000000000000001</v>
      </c>
      <c r="H73" s="138">
        <f t="shared" si="46"/>
        <v>0.95000000000000007</v>
      </c>
      <c r="I73" s="138">
        <f>SUM(C73:H73)</f>
        <v>15.97</v>
      </c>
      <c r="J73" s="192" t="s">
        <v>117</v>
      </c>
    </row>
    <row r="74" spans="1:10" x14ac:dyDescent="0.25">
      <c r="A74" s="96" t="s">
        <v>118</v>
      </c>
      <c r="B74" s="133"/>
      <c r="C74" s="144">
        <f>4.5/24</f>
        <v>0.1875</v>
      </c>
      <c r="D74" s="144">
        <f t="shared" ref="D74:I74" si="47">4.5/24</f>
        <v>0.1875</v>
      </c>
      <c r="E74" s="144">
        <f t="shared" si="47"/>
        <v>0.1875</v>
      </c>
      <c r="F74" s="144">
        <f t="shared" si="47"/>
        <v>0.1875</v>
      </c>
      <c r="G74" s="144">
        <f t="shared" si="47"/>
        <v>0.1875</v>
      </c>
      <c r="H74" s="144">
        <f t="shared" si="47"/>
        <v>0.1875</v>
      </c>
      <c r="I74" s="144">
        <f t="shared" si="47"/>
        <v>0.1875</v>
      </c>
      <c r="J74" s="192"/>
    </row>
    <row r="75" spans="1:10" x14ac:dyDescent="0.25">
      <c r="A75" s="96" t="s">
        <v>119</v>
      </c>
      <c r="B75" s="133" t="s">
        <v>9</v>
      </c>
      <c r="C75" s="138">
        <f>C73*8760/1000*C74</f>
        <v>5.0588999999999995</v>
      </c>
      <c r="D75" s="138">
        <f t="shared" ref="D75:H75" si="48">D73*8760/1000*D74</f>
        <v>4.0076999999999998</v>
      </c>
      <c r="E75" s="138">
        <f t="shared" si="48"/>
        <v>6.2414999999999994</v>
      </c>
      <c r="F75" s="138">
        <f t="shared" si="48"/>
        <v>6.2414999999999994</v>
      </c>
      <c r="G75" s="138">
        <f t="shared" si="48"/>
        <v>3.1207499999999997</v>
      </c>
      <c r="H75" s="138">
        <f t="shared" si="48"/>
        <v>1.5603749999999998</v>
      </c>
      <c r="I75" s="135">
        <f>SUM(C75:H75)</f>
        <v>26.230725</v>
      </c>
      <c r="J75" s="192" t="s">
        <v>120</v>
      </c>
    </row>
    <row r="76" spans="1:10" x14ac:dyDescent="0.25">
      <c r="A76" s="402" t="s">
        <v>121</v>
      </c>
      <c r="B76" s="403" t="s">
        <v>38</v>
      </c>
      <c r="C76" s="230">
        <f>7.7/2</f>
        <v>3.85</v>
      </c>
      <c r="D76" s="230">
        <v>3.05</v>
      </c>
      <c r="E76" s="230">
        <f>3.376/2</f>
        <v>1.6879999999999999</v>
      </c>
      <c r="F76" s="230">
        <f>3.7*0.5</f>
        <v>1.85</v>
      </c>
      <c r="G76" s="230">
        <v>1.0129999999999999</v>
      </c>
      <c r="H76" s="230">
        <f>1.449/2</f>
        <v>0.72450000000000003</v>
      </c>
      <c r="I76" s="230"/>
      <c r="J76" s="192"/>
    </row>
    <row r="77" spans="1:10" x14ac:dyDescent="0.25">
      <c r="A77" s="96" t="s">
        <v>122</v>
      </c>
      <c r="B77" s="137" t="s">
        <v>123</v>
      </c>
      <c r="C77" s="138">
        <v>4.1639999999999997</v>
      </c>
      <c r="D77" s="138">
        <v>6.17</v>
      </c>
      <c r="E77" s="138">
        <v>5</v>
      </c>
      <c r="F77" s="138">
        <v>5</v>
      </c>
      <c r="G77" s="138">
        <v>5</v>
      </c>
      <c r="H77" s="138">
        <v>4</v>
      </c>
      <c r="I77" s="138"/>
      <c r="J77" s="192"/>
    </row>
    <row r="78" spans="1:10" x14ac:dyDescent="0.25">
      <c r="A78" s="96" t="s">
        <v>124</v>
      </c>
      <c r="B78" s="137"/>
      <c r="C78" s="202">
        <v>313</v>
      </c>
      <c r="D78" s="202">
        <v>313</v>
      </c>
      <c r="E78" s="202">
        <v>313</v>
      </c>
      <c r="F78" s="202">
        <v>313</v>
      </c>
      <c r="G78" s="202">
        <v>313</v>
      </c>
      <c r="H78" s="202">
        <v>313</v>
      </c>
      <c r="I78" s="138"/>
      <c r="J78" s="192"/>
    </row>
    <row r="79" spans="1:10" x14ac:dyDescent="0.25">
      <c r="A79" s="243" t="s">
        <v>125</v>
      </c>
      <c r="B79" s="133" t="s">
        <v>9</v>
      </c>
      <c r="C79" s="213">
        <f t="shared" ref="C79:H79" si="49">C76*C77*C78/1000</f>
        <v>5.0178281999999994</v>
      </c>
      <c r="D79" s="213">
        <f t="shared" si="49"/>
        <v>5.8901905000000001</v>
      </c>
      <c r="E79" s="213">
        <f t="shared" si="49"/>
        <v>2.6417199999999998</v>
      </c>
      <c r="F79" s="213">
        <f t="shared" si="49"/>
        <v>2.8952499999999999</v>
      </c>
      <c r="G79" s="213">
        <f t="shared" si="49"/>
        <v>1.5853449999999998</v>
      </c>
      <c r="H79" s="213">
        <f t="shared" si="49"/>
        <v>0.90707400000000005</v>
      </c>
      <c r="I79" s="231">
        <f>SUM(C79:H79)</f>
        <v>18.937407700000001</v>
      </c>
      <c r="J79" s="192"/>
    </row>
    <row r="80" spans="1:10" x14ac:dyDescent="0.25">
      <c r="A80" s="266" t="s">
        <v>125</v>
      </c>
      <c r="B80" s="226" t="s">
        <v>9</v>
      </c>
      <c r="C80" s="230">
        <f>IF(C79&gt;C75,C75,C79)</f>
        <v>5.0178281999999994</v>
      </c>
      <c r="D80" s="230">
        <f t="shared" ref="D80:H80" si="50">IF(D79&gt;D75,D75,D79)</f>
        <v>4.0076999999999998</v>
      </c>
      <c r="E80" s="230">
        <f t="shared" si="50"/>
        <v>2.6417199999999998</v>
      </c>
      <c r="F80" s="230">
        <f t="shared" si="50"/>
        <v>2.8952499999999999</v>
      </c>
      <c r="G80" s="230">
        <f t="shared" si="50"/>
        <v>1.5853449999999998</v>
      </c>
      <c r="H80" s="230">
        <f t="shared" si="50"/>
        <v>0.90707400000000005</v>
      </c>
      <c r="I80" s="213">
        <f>SUM(C80:H80)</f>
        <v>17.054917200000002</v>
      </c>
      <c r="J80" s="192"/>
    </row>
    <row r="81" spans="1:10" x14ac:dyDescent="0.25">
      <c r="A81" s="96" t="s">
        <v>126</v>
      </c>
      <c r="B81" s="137" t="s">
        <v>14</v>
      </c>
      <c r="C81" s="138">
        <f>'Custos EDA-Renovaveis'!X49</f>
        <v>121.46981733646868</v>
      </c>
      <c r="D81" s="138">
        <f>'Custos EDA-Renovaveis'!X50</f>
        <v>117.65486513524891</v>
      </c>
      <c r="E81" s="138">
        <f>'Custos EDA-Renovaveis'!X51</f>
        <v>138.04174304274369</v>
      </c>
      <c r="F81" s="138">
        <f>'Custos EDA-Renovaveis'!X52</f>
        <v>122.88618587320948</v>
      </c>
      <c r="G81" s="138">
        <f>'Custos EDA-Renovaveis'!X53</f>
        <v>140.17875518186293</v>
      </c>
      <c r="H81" s="138">
        <f>'Custos EDA-Renovaveis'!X54</f>
        <v>131.61963172311886</v>
      </c>
      <c r="I81" s="135"/>
      <c r="J81" s="192" t="s">
        <v>127</v>
      </c>
    </row>
    <row r="82" spans="1:10" x14ac:dyDescent="0.25">
      <c r="A82" s="96" t="s">
        <v>128</v>
      </c>
      <c r="B82" s="133" t="s">
        <v>13</v>
      </c>
      <c r="C82" s="136">
        <f>-C81*C80*1000/1000000*0.4</f>
        <v>-0.24380586995191256</v>
      </c>
      <c r="D82" s="136">
        <f>-D81*D80*1000/1000000*0.4</f>
        <v>-0.18861016120101481</v>
      </c>
      <c r="E82" s="136">
        <v>0</v>
      </c>
      <c r="F82" s="136">
        <v>0</v>
      </c>
      <c r="G82" s="136">
        <v>0</v>
      </c>
      <c r="H82" s="136">
        <v>0</v>
      </c>
      <c r="I82" s="135">
        <f>SUM(C82:H82)</f>
        <v>-0.43241603115292737</v>
      </c>
      <c r="J82" s="192" t="s">
        <v>129</v>
      </c>
    </row>
    <row r="83" spans="1:10" x14ac:dyDescent="0.25">
      <c r="A83" s="96" t="s">
        <v>130</v>
      </c>
      <c r="B83" s="133" t="s">
        <v>13</v>
      </c>
      <c r="C83" s="138">
        <f>C10*C86/1000</f>
        <v>0.83834210644831086</v>
      </c>
      <c r="D83" s="138">
        <f t="shared" ref="D83:H83" si="51">D10*D86/1000</f>
        <v>1.0451451854734239</v>
      </c>
      <c r="E83" s="138">
        <f t="shared" si="51"/>
        <v>0.53501488082022353</v>
      </c>
      <c r="F83" s="138">
        <f t="shared" si="51"/>
        <v>0.57435064851834261</v>
      </c>
      <c r="G83" s="138">
        <f t="shared" si="51"/>
        <v>0.51051367534278924</v>
      </c>
      <c r="H83" s="138">
        <f t="shared" si="51"/>
        <v>0.29367033864369352</v>
      </c>
      <c r="I83" s="139">
        <f>SUM(C83:H83)</f>
        <v>3.797036835246784</v>
      </c>
      <c r="J83" s="192" t="s">
        <v>131</v>
      </c>
    </row>
    <row r="84" spans="1:10" x14ac:dyDescent="0.25">
      <c r="A84" s="96" t="s">
        <v>132</v>
      </c>
      <c r="B84" s="133" t="s">
        <v>13</v>
      </c>
      <c r="C84" s="138">
        <v>-0.25</v>
      </c>
      <c r="D84" s="138">
        <v>-0.2</v>
      </c>
      <c r="E84" s="138">
        <v>-0.15</v>
      </c>
      <c r="F84" s="138">
        <v>-0.15</v>
      </c>
      <c r="G84" s="138">
        <v>-0.1</v>
      </c>
      <c r="H84" s="138">
        <v>-0.1</v>
      </c>
      <c r="I84" s="135">
        <f>SUM(C84:H84)</f>
        <v>-0.95</v>
      </c>
      <c r="J84" s="192" t="s">
        <v>133</v>
      </c>
    </row>
    <row r="85" spans="1:10" x14ac:dyDescent="0.25">
      <c r="A85" s="120" t="s">
        <v>134</v>
      </c>
      <c r="B85" s="131" t="s">
        <v>13</v>
      </c>
      <c r="C85" s="153">
        <f>SUM(C82:C84)</f>
        <v>0.34453623649639831</v>
      </c>
      <c r="D85" s="153">
        <f t="shared" ref="D85:I85" si="52">SUM(D82:D84)</f>
        <v>0.65653502427240906</v>
      </c>
      <c r="E85" s="153">
        <f t="shared" si="52"/>
        <v>0.3850148808202235</v>
      </c>
      <c r="F85" s="153">
        <f t="shared" si="52"/>
        <v>0.42435064851834259</v>
      </c>
      <c r="G85" s="153">
        <f t="shared" si="52"/>
        <v>0.41051367534278926</v>
      </c>
      <c r="H85" s="153">
        <f t="shared" si="52"/>
        <v>0.19367033864369351</v>
      </c>
      <c r="I85" s="153">
        <f t="shared" si="52"/>
        <v>2.4146208040938566</v>
      </c>
      <c r="J85" s="192" t="s">
        <v>135</v>
      </c>
    </row>
    <row r="86" spans="1:10" x14ac:dyDescent="0.25">
      <c r="A86" s="150" t="s">
        <v>134</v>
      </c>
      <c r="B86" s="133" t="s">
        <v>9</v>
      </c>
      <c r="C86" s="203">
        <f>C79</f>
        <v>5.0178281999999994</v>
      </c>
      <c r="D86" s="203">
        <f t="shared" ref="D86:H86" si="53">D79</f>
        <v>5.8901905000000001</v>
      </c>
      <c r="E86" s="203">
        <f t="shared" si="53"/>
        <v>2.6417199999999998</v>
      </c>
      <c r="F86" s="203">
        <f t="shared" si="53"/>
        <v>2.8952499999999999</v>
      </c>
      <c r="G86" s="203">
        <f t="shared" si="53"/>
        <v>1.5853449999999998</v>
      </c>
      <c r="H86" s="203">
        <f t="shared" si="53"/>
        <v>0.90707400000000005</v>
      </c>
      <c r="I86" s="154">
        <f>SUM(C86:H86)</f>
        <v>18.937407700000001</v>
      </c>
      <c r="J86" s="192" t="s">
        <v>136</v>
      </c>
    </row>
    <row r="87" spans="1:10" x14ac:dyDescent="0.25">
      <c r="A87" s="155" t="s">
        <v>137</v>
      </c>
      <c r="B87" s="140" t="s">
        <v>14</v>
      </c>
      <c r="C87" s="153">
        <f t="shared" ref="C87:I87" si="54">C85/(C22+C62)*1000</f>
        <v>9.5231061508737405</v>
      </c>
      <c r="D87" s="153">
        <f t="shared" si="54"/>
        <v>34.902203781017924</v>
      </c>
      <c r="E87" s="153">
        <f t="shared" si="54"/>
        <v>27.131248495170507</v>
      </c>
      <c r="F87" s="153">
        <f t="shared" si="54"/>
        <v>31.829825383528188</v>
      </c>
      <c r="G87" s="153">
        <f t="shared" si="54"/>
        <v>63.314614528603499</v>
      </c>
      <c r="H87" s="153">
        <f t="shared" si="54"/>
        <v>53.872810054404439</v>
      </c>
      <c r="I87" s="153">
        <f t="shared" si="54"/>
        <v>26.078344444379152</v>
      </c>
      <c r="J87" s="192" t="s">
        <v>138</v>
      </c>
    </row>
    <row r="88" spans="1:10" x14ac:dyDescent="0.25">
      <c r="A88" s="97"/>
      <c r="B88" s="97"/>
      <c r="C88" s="97"/>
      <c r="D88" s="97"/>
      <c r="E88" s="97"/>
      <c r="F88" s="97"/>
      <c r="G88" s="97"/>
      <c r="H88" s="97"/>
      <c r="I88" s="97"/>
      <c r="J88" s="192"/>
    </row>
    <row r="89" spans="1:10" x14ac:dyDescent="0.25">
      <c r="A89" s="147" t="s">
        <v>139</v>
      </c>
      <c r="B89" s="97"/>
      <c r="C89" s="130"/>
      <c r="D89" s="130"/>
      <c r="E89" s="130"/>
      <c r="F89" s="130"/>
      <c r="G89" s="130"/>
      <c r="H89" s="130"/>
      <c r="I89" s="130"/>
      <c r="J89" s="192"/>
    </row>
    <row r="90" spans="1:10" x14ac:dyDescent="0.25">
      <c r="A90" s="148" t="s">
        <v>140</v>
      </c>
      <c r="B90" s="97"/>
      <c r="C90" s="130" t="s">
        <v>0</v>
      </c>
      <c r="D90" s="130" t="s">
        <v>1</v>
      </c>
      <c r="E90" s="130" t="s">
        <v>2</v>
      </c>
      <c r="F90" s="130" t="s">
        <v>3</v>
      </c>
      <c r="G90" s="130" t="s">
        <v>4</v>
      </c>
      <c r="H90" s="130" t="s">
        <v>5</v>
      </c>
      <c r="I90" s="130" t="s">
        <v>6</v>
      </c>
      <c r="J90" s="192"/>
    </row>
    <row r="91" spans="1:10" x14ac:dyDescent="0.25">
      <c r="A91" s="120" t="s">
        <v>141</v>
      </c>
      <c r="B91" s="94" t="s">
        <v>9</v>
      </c>
      <c r="C91" s="109">
        <f t="shared" ref="C91:H91" si="55">SUM(C93:C94)</f>
        <v>2.7779768000000007</v>
      </c>
      <c r="D91" s="109">
        <f t="shared" si="55"/>
        <v>2.2547039999999998</v>
      </c>
      <c r="E91" s="109">
        <f t="shared" si="55"/>
        <v>3.1248280000000004</v>
      </c>
      <c r="F91" s="109">
        <f t="shared" si="55"/>
        <v>3.1038560000000004</v>
      </c>
      <c r="G91" s="109">
        <f t="shared" si="55"/>
        <v>1.7357111999999999</v>
      </c>
      <c r="H91" s="109">
        <f t="shared" si="55"/>
        <v>0.91095520000000008</v>
      </c>
      <c r="I91" s="110">
        <f t="shared" ref="I91:I105" si="56">SUM(C91:H91)</f>
        <v>13.9080312</v>
      </c>
      <c r="J91" s="192"/>
    </row>
    <row r="92" spans="1:10" x14ac:dyDescent="0.25">
      <c r="A92" s="124" t="s">
        <v>142</v>
      </c>
      <c r="B92" s="125" t="s">
        <v>9</v>
      </c>
      <c r="C92" s="203">
        <f t="shared" ref="C92:I92" si="57">C16</f>
        <v>33.400999999999996</v>
      </c>
      <c r="D92" s="203">
        <f t="shared" si="57"/>
        <v>16.556000000000001</v>
      </c>
      <c r="E92" s="203">
        <f t="shared" si="57"/>
        <v>11.066000000000001</v>
      </c>
      <c r="F92" s="203">
        <f t="shared" si="57"/>
        <v>10.228</v>
      </c>
      <c r="G92" s="203">
        <f t="shared" si="57"/>
        <v>4.7480000000000002</v>
      </c>
      <c r="H92" s="203">
        <f t="shared" si="57"/>
        <v>2.6840000000000002</v>
      </c>
      <c r="I92" s="203">
        <f t="shared" si="57"/>
        <v>78.682999999999993</v>
      </c>
      <c r="J92" s="192"/>
    </row>
    <row r="93" spans="1:10" x14ac:dyDescent="0.25">
      <c r="A93" s="124" t="s">
        <v>143</v>
      </c>
      <c r="B93" s="125" t="s">
        <v>9</v>
      </c>
      <c r="C93" s="122">
        <f t="shared" ref="C93:I93" si="58">C62</f>
        <v>1.3747360000000006</v>
      </c>
      <c r="D93" s="122">
        <f t="shared" si="58"/>
        <v>0.74985599999999986</v>
      </c>
      <c r="E93" s="122">
        <f t="shared" si="58"/>
        <v>0.71861200000000014</v>
      </c>
      <c r="F93" s="122">
        <f t="shared" si="58"/>
        <v>0.78110000000000013</v>
      </c>
      <c r="G93" s="122">
        <f t="shared" si="58"/>
        <v>0.74985599999999986</v>
      </c>
      <c r="H93" s="122">
        <f t="shared" si="58"/>
        <v>0.31868880000000005</v>
      </c>
      <c r="I93" s="122">
        <f t="shared" si="58"/>
        <v>4.6928488000000019</v>
      </c>
      <c r="J93" s="192" t="s">
        <v>144</v>
      </c>
    </row>
    <row r="94" spans="1:10" x14ac:dyDescent="0.25">
      <c r="A94" s="124" t="s">
        <v>145</v>
      </c>
      <c r="B94" s="125" t="s">
        <v>9</v>
      </c>
      <c r="C94" s="122">
        <f t="shared" ref="C94:I94" si="59">C20</f>
        <v>1.4032408000000001</v>
      </c>
      <c r="D94" s="122">
        <f t="shared" si="59"/>
        <v>1.504848</v>
      </c>
      <c r="E94" s="122">
        <f t="shared" si="59"/>
        <v>2.4062160000000001</v>
      </c>
      <c r="F94" s="122">
        <f t="shared" si="59"/>
        <v>2.322756</v>
      </c>
      <c r="G94" s="122">
        <f t="shared" si="59"/>
        <v>0.98585519999999993</v>
      </c>
      <c r="H94" s="122">
        <f t="shared" si="59"/>
        <v>0.59226639999999997</v>
      </c>
      <c r="I94" s="122">
        <f t="shared" si="59"/>
        <v>9.2151823999999998</v>
      </c>
      <c r="J94" s="192" t="s">
        <v>146</v>
      </c>
    </row>
    <row r="95" spans="1:10" x14ac:dyDescent="0.25">
      <c r="A95" s="124"/>
      <c r="B95" s="125"/>
      <c r="C95" s="122"/>
      <c r="D95" s="122"/>
      <c r="E95" s="122"/>
      <c r="F95" s="122"/>
      <c r="G95" s="122"/>
      <c r="H95" s="122"/>
      <c r="I95" s="122"/>
      <c r="J95" s="192"/>
    </row>
    <row r="96" spans="1:10" x14ac:dyDescent="0.25">
      <c r="A96" s="120" t="s">
        <v>147</v>
      </c>
      <c r="B96" s="94" t="s">
        <v>9</v>
      </c>
      <c r="C96" s="104">
        <f>C86</f>
        <v>5.0178281999999994</v>
      </c>
      <c r="D96" s="104">
        <f>D97</f>
        <v>3.8</v>
      </c>
      <c r="E96" s="104">
        <f>E86</f>
        <v>2.6417199999999998</v>
      </c>
      <c r="F96" s="104">
        <f>F86</f>
        <v>2.8952499999999999</v>
      </c>
      <c r="G96" s="104">
        <f>G86</f>
        <v>1.5853449999999998</v>
      </c>
      <c r="H96" s="104">
        <f>H86</f>
        <v>0.90707400000000005</v>
      </c>
      <c r="I96" s="100">
        <f t="shared" si="56"/>
        <v>16.847217199999999</v>
      </c>
      <c r="J96" s="192"/>
    </row>
    <row r="97" spans="1:11" x14ac:dyDescent="0.25">
      <c r="A97" s="124" t="s">
        <v>148</v>
      </c>
      <c r="B97" s="125" t="s">
        <v>9</v>
      </c>
      <c r="C97" s="122">
        <f>IF(C$34-C$93&lt;C$75,C$34-C$93,C$75)</f>
        <v>5.0588999999999995</v>
      </c>
      <c r="D97" s="122">
        <v>3.8</v>
      </c>
      <c r="E97" s="122">
        <f>IF(E34-E93&lt;E75,E34-E93,E75)</f>
        <v>4.5702379999999998</v>
      </c>
      <c r="F97" s="122">
        <f>IF(F34-F93&lt;F75,F34-F93,F75)</f>
        <v>3.5879500000000002</v>
      </c>
      <c r="G97" s="122">
        <f>IF(G34-G93&lt;G75,G34-G93,G75)</f>
        <v>2.6993940000000003</v>
      </c>
      <c r="H97" s="122">
        <f>IF(H34-H93&lt;H75,H34-H93,H75)</f>
        <v>1.5603749999999998</v>
      </c>
      <c r="I97" s="123">
        <f t="shared" ref="I97" si="60">SUM(C97:H97)</f>
        <v>21.276857</v>
      </c>
      <c r="J97" s="192" t="s">
        <v>149</v>
      </c>
    </row>
    <row r="98" spans="1:11" x14ac:dyDescent="0.25">
      <c r="A98" s="124" t="s">
        <v>150</v>
      </c>
      <c r="B98" s="125" t="s">
        <v>9</v>
      </c>
      <c r="C98" s="122"/>
      <c r="D98" s="122"/>
      <c r="E98" s="122"/>
      <c r="F98" s="122"/>
      <c r="G98" s="122"/>
      <c r="H98" s="122"/>
      <c r="I98" s="122"/>
      <c r="J98" s="192"/>
    </row>
    <row r="99" spans="1:11" x14ac:dyDescent="0.25">
      <c r="A99" s="166" t="s">
        <v>151</v>
      </c>
      <c r="B99" s="156" t="s">
        <v>9</v>
      </c>
      <c r="C99" s="157"/>
      <c r="D99" s="157"/>
      <c r="E99" s="157"/>
      <c r="F99" s="157"/>
      <c r="G99" s="157"/>
      <c r="H99" s="157"/>
      <c r="I99" s="158"/>
      <c r="J99" s="192"/>
    </row>
    <row r="100" spans="1:11" x14ac:dyDescent="0.25">
      <c r="A100" s="183" t="s">
        <v>61</v>
      </c>
      <c r="B100" s="184" t="s">
        <v>9</v>
      </c>
      <c r="C100" s="185">
        <f t="shared" ref="C100:H100" si="61">C7</f>
        <v>151</v>
      </c>
      <c r="D100" s="185">
        <f t="shared" si="61"/>
        <v>97</v>
      </c>
      <c r="E100" s="185">
        <f t="shared" si="61"/>
        <v>48</v>
      </c>
      <c r="F100" s="185">
        <f t="shared" si="61"/>
        <v>49.2</v>
      </c>
      <c r="G100" s="185">
        <f t="shared" si="61"/>
        <v>25</v>
      </c>
      <c r="H100" s="185">
        <f t="shared" si="61"/>
        <v>17.7</v>
      </c>
      <c r="I100" s="186">
        <f>SUM(C100:H100)</f>
        <v>387.9</v>
      </c>
      <c r="J100" s="192"/>
    </row>
    <row r="101" spans="1:11" x14ac:dyDescent="0.25">
      <c r="A101" s="187" t="s">
        <v>152</v>
      </c>
      <c r="B101" s="184" t="s">
        <v>9</v>
      </c>
      <c r="C101" s="185">
        <v>54</v>
      </c>
      <c r="D101" s="185">
        <v>42</v>
      </c>
      <c r="E101" s="185">
        <v>12.07</v>
      </c>
      <c r="F101" s="185">
        <v>14.8</v>
      </c>
      <c r="G101" s="185">
        <v>5.0999999999999996</v>
      </c>
      <c r="H101" s="185">
        <f>0.725*8760/1000</f>
        <v>6.351</v>
      </c>
      <c r="I101" s="186">
        <f t="shared" ref="I101:I102" si="62">SUM(C101:H101)</f>
        <v>134.321</v>
      </c>
      <c r="J101" s="192" t="s">
        <v>153</v>
      </c>
    </row>
    <row r="102" spans="1:11" x14ac:dyDescent="0.25">
      <c r="A102" s="187" t="s">
        <v>154</v>
      </c>
      <c r="B102" s="184" t="s">
        <v>9</v>
      </c>
      <c r="C102" s="185">
        <f>C100-C101</f>
        <v>97</v>
      </c>
      <c r="D102" s="185">
        <f t="shared" ref="D102:H102" si="63">D100-D101</f>
        <v>55</v>
      </c>
      <c r="E102" s="185">
        <f t="shared" si="63"/>
        <v>35.93</v>
      </c>
      <c r="F102" s="185">
        <f t="shared" si="63"/>
        <v>34.400000000000006</v>
      </c>
      <c r="G102" s="185">
        <f t="shared" si="63"/>
        <v>19.899999999999999</v>
      </c>
      <c r="H102" s="185">
        <f t="shared" si="63"/>
        <v>11.349</v>
      </c>
      <c r="I102" s="186">
        <f t="shared" si="62"/>
        <v>253.57900000000001</v>
      </c>
      <c r="J102" s="192" t="s">
        <v>155</v>
      </c>
    </row>
    <row r="103" spans="1:11" x14ac:dyDescent="0.25">
      <c r="A103" s="179" t="s">
        <v>156</v>
      </c>
      <c r="B103" s="180"/>
      <c r="C103" s="181"/>
      <c r="D103" s="181"/>
      <c r="E103" s="181"/>
      <c r="F103" s="181"/>
      <c r="G103" s="181"/>
      <c r="H103" s="181"/>
      <c r="I103" s="182"/>
      <c r="J103" s="192"/>
    </row>
    <row r="104" spans="1:11" x14ac:dyDescent="0.25">
      <c r="A104" s="159" t="s">
        <v>157</v>
      </c>
      <c r="B104" s="160" t="s">
        <v>9</v>
      </c>
      <c r="C104" s="161">
        <f t="shared" ref="C104:H104" si="64">C22</f>
        <v>34.804240799999995</v>
      </c>
      <c r="D104" s="161">
        <f t="shared" si="64"/>
        <v>18.060848</v>
      </c>
      <c r="E104" s="161">
        <f t="shared" si="64"/>
        <v>13.472216000000001</v>
      </c>
      <c r="F104" s="161">
        <f t="shared" si="64"/>
        <v>12.550756</v>
      </c>
      <c r="G104" s="161">
        <f t="shared" si="64"/>
        <v>5.7338551999999998</v>
      </c>
      <c r="H104" s="161">
        <f t="shared" si="64"/>
        <v>3.2762663999999999</v>
      </c>
      <c r="I104" s="162">
        <f t="shared" si="56"/>
        <v>87.898182399999996</v>
      </c>
      <c r="J104" s="192"/>
    </row>
    <row r="105" spans="1:11" x14ac:dyDescent="0.25">
      <c r="A105" s="159" t="s">
        <v>158</v>
      </c>
      <c r="B105" s="163" t="s">
        <v>9</v>
      </c>
      <c r="C105" s="164">
        <f t="shared" ref="C105:H105" si="65">C62+C97</f>
        <v>6.4336359999999999</v>
      </c>
      <c r="D105" s="164">
        <f t="shared" si="65"/>
        <v>4.5498560000000001</v>
      </c>
      <c r="E105" s="164">
        <f t="shared" si="65"/>
        <v>5.2888500000000001</v>
      </c>
      <c r="F105" s="164">
        <f t="shared" si="65"/>
        <v>4.3690500000000005</v>
      </c>
      <c r="G105" s="164">
        <f t="shared" si="65"/>
        <v>3.4492500000000001</v>
      </c>
      <c r="H105" s="164">
        <f t="shared" si="65"/>
        <v>1.8790638</v>
      </c>
      <c r="I105" s="165">
        <f t="shared" si="56"/>
        <v>25.969705800000003</v>
      </c>
      <c r="J105" s="192"/>
    </row>
    <row r="106" spans="1:11" x14ac:dyDescent="0.25">
      <c r="A106" s="166" t="s">
        <v>151</v>
      </c>
      <c r="B106" s="160" t="s">
        <v>9</v>
      </c>
      <c r="C106" s="188">
        <f t="shared" ref="C106:I106" si="66">SUM(C104:C105)</f>
        <v>41.237876799999995</v>
      </c>
      <c r="D106" s="188">
        <f t="shared" si="66"/>
        <v>22.610703999999998</v>
      </c>
      <c r="E106" s="188">
        <f t="shared" si="66"/>
        <v>18.761066</v>
      </c>
      <c r="F106" s="188">
        <f t="shared" si="66"/>
        <v>16.919806000000001</v>
      </c>
      <c r="G106" s="188">
        <f t="shared" si="66"/>
        <v>9.1831052</v>
      </c>
      <c r="H106" s="188">
        <f t="shared" si="66"/>
        <v>5.1553301999999999</v>
      </c>
      <c r="I106" s="188">
        <f t="shared" si="66"/>
        <v>113.8678882</v>
      </c>
      <c r="J106" s="192" t="s">
        <v>159</v>
      </c>
    </row>
    <row r="107" spans="1:11" x14ac:dyDescent="0.25">
      <c r="A107" s="121"/>
      <c r="B107" s="94"/>
      <c r="C107" s="101"/>
      <c r="D107" s="101"/>
      <c r="E107" s="101"/>
      <c r="F107" s="101"/>
      <c r="G107" s="101"/>
      <c r="H107" s="101"/>
      <c r="I107" s="102"/>
      <c r="J107" s="192"/>
    </row>
    <row r="108" spans="1:11" x14ac:dyDescent="0.25">
      <c r="A108" s="120" t="s">
        <v>160</v>
      </c>
      <c r="B108" s="94" t="s">
        <v>13</v>
      </c>
      <c r="C108" s="104">
        <f t="shared" ref="C108:H108" si="67">SUM(C109:C110)</f>
        <v>5.3749155067439114</v>
      </c>
      <c r="D108" s="104">
        <f t="shared" si="67"/>
        <v>2.9647096545750293</v>
      </c>
      <c r="E108" s="104">
        <f t="shared" si="67"/>
        <v>2.3153785189200002</v>
      </c>
      <c r="F108" s="104">
        <f t="shared" si="67"/>
        <v>2.2263187608000004</v>
      </c>
      <c r="G108" s="104">
        <f t="shared" si="67"/>
        <v>1.226906438648</v>
      </c>
      <c r="H108" s="104">
        <f t="shared" si="67"/>
        <v>0.76439881964799994</v>
      </c>
      <c r="I108" s="100">
        <f>SUM(C108:H108)</f>
        <v>14.87262769933494</v>
      </c>
      <c r="J108" s="192"/>
    </row>
    <row r="109" spans="1:11" x14ac:dyDescent="0.25">
      <c r="A109" s="96" t="s">
        <v>157</v>
      </c>
      <c r="B109" s="94" t="s">
        <v>13</v>
      </c>
      <c r="C109" s="101">
        <f t="shared" ref="C109:H109" si="68">C23</f>
        <v>4.7260678582319988</v>
      </c>
      <c r="D109" s="101">
        <f t="shared" si="68"/>
        <v>2.47505860992</v>
      </c>
      <c r="E109" s="101">
        <f t="shared" si="68"/>
        <v>2.0744518196800001</v>
      </c>
      <c r="F109" s="101">
        <f t="shared" si="68"/>
        <v>1.9805092968000002</v>
      </c>
      <c r="G109" s="101">
        <f t="shared" si="68"/>
        <v>1.099122703288</v>
      </c>
      <c r="H109" s="101">
        <f t="shared" si="68"/>
        <v>0.64453988887199998</v>
      </c>
      <c r="I109" s="102">
        <f>SUM(C109:H109)</f>
        <v>12.999750176791999</v>
      </c>
      <c r="J109" s="192"/>
      <c r="K109" s="23"/>
    </row>
    <row r="110" spans="1:11" x14ac:dyDescent="0.25">
      <c r="A110" s="96" t="s">
        <v>158</v>
      </c>
      <c r="B110" s="94" t="s">
        <v>13</v>
      </c>
      <c r="C110" s="101">
        <f t="shared" ref="C110:I110" si="69">C64-C82-C84</f>
        <v>0.64884764851191257</v>
      </c>
      <c r="D110" s="101">
        <f t="shared" si="69"/>
        <v>0.48965104465502912</v>
      </c>
      <c r="E110" s="101">
        <f t="shared" si="69"/>
        <v>0.24092669923999999</v>
      </c>
      <c r="F110" s="101">
        <f t="shared" si="69"/>
        <v>0.24580946399999995</v>
      </c>
      <c r="G110" s="101">
        <f t="shared" si="69"/>
        <v>0.12778373536000001</v>
      </c>
      <c r="H110" s="101">
        <f t="shared" si="69"/>
        <v>0.119858930776</v>
      </c>
      <c r="I110" s="101">
        <f t="shared" si="69"/>
        <v>1.8728775225429415</v>
      </c>
      <c r="J110" s="192"/>
    </row>
    <row r="111" spans="1:11" x14ac:dyDescent="0.25">
      <c r="A111" s="121"/>
      <c r="B111" s="94"/>
      <c r="C111" s="101"/>
      <c r="D111" s="101"/>
      <c r="E111" s="101"/>
      <c r="F111" s="101"/>
      <c r="G111" s="101"/>
      <c r="H111" s="101"/>
      <c r="I111" s="102"/>
      <c r="J111" s="192"/>
    </row>
    <row r="112" spans="1:11" x14ac:dyDescent="0.25">
      <c r="A112" s="120" t="s">
        <v>161</v>
      </c>
      <c r="B112" s="94"/>
      <c r="C112" s="99"/>
      <c r="D112" s="99"/>
      <c r="E112" s="99"/>
      <c r="F112" s="99"/>
      <c r="G112" s="99"/>
      <c r="H112" s="99"/>
      <c r="I112" s="105"/>
      <c r="J112" s="192"/>
    </row>
    <row r="113" spans="1:17" x14ac:dyDescent="0.25">
      <c r="A113" s="96" t="s">
        <v>17</v>
      </c>
      <c r="B113" s="94" t="s">
        <v>9</v>
      </c>
      <c r="C113" s="99">
        <f t="shared" ref="C113:H113" si="70">C16</f>
        <v>33.400999999999996</v>
      </c>
      <c r="D113" s="99">
        <f t="shared" si="70"/>
        <v>16.556000000000001</v>
      </c>
      <c r="E113" s="99">
        <f t="shared" si="70"/>
        <v>11.066000000000001</v>
      </c>
      <c r="F113" s="99">
        <f t="shared" si="70"/>
        <v>10.228</v>
      </c>
      <c r="G113" s="99">
        <f t="shared" si="70"/>
        <v>4.7480000000000002</v>
      </c>
      <c r="H113" s="99">
        <f t="shared" si="70"/>
        <v>2.6840000000000002</v>
      </c>
      <c r="I113" s="105">
        <f>SUM(C113:H113)</f>
        <v>78.682999999999993</v>
      </c>
      <c r="J113" s="192"/>
      <c r="K113" s="91"/>
    </row>
    <row r="114" spans="1:17" x14ac:dyDescent="0.25">
      <c r="A114" s="96" t="s">
        <v>162</v>
      </c>
      <c r="B114" s="94" t="s">
        <v>9</v>
      </c>
      <c r="C114" s="99">
        <f t="shared" ref="C114:H114" si="71">C91</f>
        <v>2.7779768000000007</v>
      </c>
      <c r="D114" s="99">
        <f t="shared" si="71"/>
        <v>2.2547039999999998</v>
      </c>
      <c r="E114" s="99">
        <f t="shared" si="71"/>
        <v>3.1248280000000004</v>
      </c>
      <c r="F114" s="99">
        <f t="shared" si="71"/>
        <v>3.1038560000000004</v>
      </c>
      <c r="G114" s="99">
        <f t="shared" si="71"/>
        <v>1.7357111999999999</v>
      </c>
      <c r="H114" s="99">
        <f t="shared" si="71"/>
        <v>0.91095520000000008</v>
      </c>
      <c r="I114" s="105">
        <f t="shared" ref="I114:I116" si="72">SUM(C114:H114)</f>
        <v>13.9080312</v>
      </c>
      <c r="J114" s="192"/>
      <c r="K114" s="30"/>
    </row>
    <row r="115" spans="1:17" x14ac:dyDescent="0.25">
      <c r="A115" s="96" t="s">
        <v>163</v>
      </c>
      <c r="B115" s="94" t="s">
        <v>9</v>
      </c>
      <c r="C115" s="99">
        <f t="shared" ref="C115:H115" si="73">C106-C113-C114</f>
        <v>5.0588999999999977</v>
      </c>
      <c r="D115" s="99">
        <f t="shared" si="73"/>
        <v>3.7999999999999976</v>
      </c>
      <c r="E115" s="99">
        <f t="shared" si="73"/>
        <v>4.570237999999998</v>
      </c>
      <c r="F115" s="99">
        <f t="shared" si="73"/>
        <v>3.5879500000000011</v>
      </c>
      <c r="G115" s="99">
        <f t="shared" si="73"/>
        <v>2.6993939999999998</v>
      </c>
      <c r="H115" s="99">
        <f t="shared" si="73"/>
        <v>1.5603749999999996</v>
      </c>
      <c r="I115" s="105">
        <f t="shared" si="72"/>
        <v>21.276856999999993</v>
      </c>
      <c r="J115" s="192"/>
    </row>
    <row r="116" spans="1:17" x14ac:dyDescent="0.25">
      <c r="A116" s="119" t="s">
        <v>164</v>
      </c>
      <c r="B116" s="94" t="s">
        <v>9</v>
      </c>
      <c r="C116" s="104">
        <f>SUM(C113:C115)</f>
        <v>41.237876799999995</v>
      </c>
      <c r="D116" s="104">
        <f t="shared" ref="D116:H116" si="74">SUM(D113:D115)</f>
        <v>22.610703999999998</v>
      </c>
      <c r="E116" s="104">
        <f t="shared" si="74"/>
        <v>18.761066</v>
      </c>
      <c r="F116" s="104">
        <f t="shared" si="74"/>
        <v>16.919806000000001</v>
      </c>
      <c r="G116" s="104">
        <f t="shared" si="74"/>
        <v>9.1831052</v>
      </c>
      <c r="H116" s="104">
        <f t="shared" si="74"/>
        <v>5.1553301999999999</v>
      </c>
      <c r="I116" s="100">
        <f t="shared" si="72"/>
        <v>113.8678882</v>
      </c>
      <c r="J116" s="192"/>
      <c r="Q116" s="89"/>
    </row>
    <row r="117" spans="1:17" x14ac:dyDescent="0.25">
      <c r="A117" s="121"/>
      <c r="B117" s="94"/>
      <c r="C117" s="104"/>
      <c r="D117" s="104"/>
      <c r="E117" s="104"/>
      <c r="F117" s="104"/>
      <c r="G117" s="104"/>
      <c r="H117" s="104"/>
      <c r="I117" s="100"/>
      <c r="J117" s="192"/>
      <c r="Q117" s="89"/>
    </row>
    <row r="118" spans="1:17" x14ac:dyDescent="0.25">
      <c r="A118" s="120" t="s">
        <v>165</v>
      </c>
      <c r="B118" s="94"/>
      <c r="C118" s="104"/>
      <c r="D118" s="104"/>
      <c r="E118" s="104"/>
      <c r="F118" s="104"/>
      <c r="G118" s="104"/>
      <c r="H118" s="104"/>
      <c r="I118" s="100"/>
      <c r="J118" s="192"/>
      <c r="Q118" s="89"/>
    </row>
    <row r="119" spans="1:17" x14ac:dyDescent="0.25">
      <c r="A119" s="96" t="s">
        <v>166</v>
      </c>
      <c r="B119" s="94" t="s">
        <v>13</v>
      </c>
      <c r="C119" s="99">
        <f t="shared" ref="C119:H119" si="75">C10*C116/1000</f>
        <v>6.8897234269535037</v>
      </c>
      <c r="D119" s="99">
        <f t="shared" si="75"/>
        <v>4.0120040982994842</v>
      </c>
      <c r="E119" s="99">
        <f t="shared" si="75"/>
        <v>3.7995887111617996</v>
      </c>
      <c r="F119" s="99">
        <f t="shared" si="75"/>
        <v>3.3564982467505553</v>
      </c>
      <c r="G119" s="99">
        <f t="shared" si="75"/>
        <v>2.9571486248806917</v>
      </c>
      <c r="H119" s="99">
        <f t="shared" si="75"/>
        <v>1.6690673149644462</v>
      </c>
      <c r="I119" s="105">
        <f t="shared" ref="I119:I125" si="76">SUM(C119:H119)</f>
        <v>22.68403042301048</v>
      </c>
      <c r="J119" s="192" t="s">
        <v>167</v>
      </c>
      <c r="Q119" s="89"/>
    </row>
    <row r="120" spans="1:17" x14ac:dyDescent="0.25">
      <c r="A120" s="96" t="s">
        <v>168</v>
      </c>
      <c r="B120" s="94" t="s">
        <v>13</v>
      </c>
      <c r="C120" s="99">
        <f t="shared" ref="C120:H120" si="77">-C108</f>
        <v>-5.3749155067439114</v>
      </c>
      <c r="D120" s="99">
        <f t="shared" si="77"/>
        <v>-2.9647096545750293</v>
      </c>
      <c r="E120" s="99">
        <f t="shared" si="77"/>
        <v>-2.3153785189200002</v>
      </c>
      <c r="F120" s="99">
        <f t="shared" si="77"/>
        <v>-2.2263187608000004</v>
      </c>
      <c r="G120" s="99">
        <f t="shared" si="77"/>
        <v>-1.226906438648</v>
      </c>
      <c r="H120" s="99">
        <f t="shared" si="77"/>
        <v>-0.76439881964799994</v>
      </c>
      <c r="I120" s="105">
        <f t="shared" si="76"/>
        <v>-14.87262769933494</v>
      </c>
      <c r="J120" s="192" t="s">
        <v>169</v>
      </c>
      <c r="Q120" s="89"/>
    </row>
    <row r="121" spans="1:17" x14ac:dyDescent="0.25">
      <c r="A121" s="120" t="s">
        <v>170</v>
      </c>
      <c r="B121" s="93" t="s">
        <v>13</v>
      </c>
      <c r="C121" s="104">
        <f>SUM(C119:C120)</f>
        <v>1.5148079202095923</v>
      </c>
      <c r="D121" s="104">
        <f t="shared" ref="D121:H121" si="78">SUM(D119:D120)</f>
        <v>1.0472944437244549</v>
      </c>
      <c r="E121" s="104">
        <f t="shared" si="78"/>
        <v>1.4842101922417994</v>
      </c>
      <c r="F121" s="104">
        <f t="shared" si="78"/>
        <v>1.130179485950555</v>
      </c>
      <c r="G121" s="104">
        <f t="shared" si="78"/>
        <v>1.7302421862326918</v>
      </c>
      <c r="H121" s="104">
        <f t="shared" si="78"/>
        <v>0.90466849531644622</v>
      </c>
      <c r="I121" s="107">
        <f t="shared" si="76"/>
        <v>7.8114027236755401</v>
      </c>
      <c r="J121" s="192" t="s">
        <v>171</v>
      </c>
      <c r="Q121" s="89"/>
    </row>
    <row r="122" spans="1:17" x14ac:dyDescent="0.25">
      <c r="A122" s="96" t="s">
        <v>172</v>
      </c>
      <c r="B122" s="95" t="s">
        <v>13</v>
      </c>
      <c r="C122" s="101">
        <f t="shared" ref="C122:H122" si="79">C16*(C10-C15)/1000</f>
        <v>1.0448734689449033</v>
      </c>
      <c r="D122" s="101">
        <f t="shared" si="79"/>
        <v>0.66883368274341692</v>
      </c>
      <c r="E122" s="101">
        <f t="shared" si="79"/>
        <v>0.53720122289530869</v>
      </c>
      <c r="F122" s="101">
        <f t="shared" si="79"/>
        <v>0.41502028164946309</v>
      </c>
      <c r="G122" s="101">
        <f t="shared" si="79"/>
        <v>0.61880947087615867</v>
      </c>
      <c r="H122" s="101">
        <f t="shared" si="79"/>
        <v>0.34093686287336356</v>
      </c>
      <c r="I122" s="102">
        <f t="shared" si="76"/>
        <v>3.6256749899826142</v>
      </c>
      <c r="J122" s="192" t="s">
        <v>173</v>
      </c>
    </row>
    <row r="123" spans="1:17" x14ac:dyDescent="0.25">
      <c r="A123" s="96" t="s">
        <v>162</v>
      </c>
      <c r="B123" s="95" t="s">
        <v>13</v>
      </c>
      <c r="C123" s="101" t="e">
        <f>#REF!</f>
        <v>#REF!</v>
      </c>
      <c r="D123" s="101" t="e">
        <f>#REF!</f>
        <v>#REF!</v>
      </c>
      <c r="E123" s="101" t="e">
        <f>#REF!</f>
        <v>#REF!</v>
      </c>
      <c r="F123" s="101" t="e">
        <f>#REF!</f>
        <v>#REF!</v>
      </c>
      <c r="G123" s="101" t="e">
        <f>#REF!</f>
        <v>#REF!</v>
      </c>
      <c r="H123" s="101" t="e">
        <f>#REF!</f>
        <v>#REF!</v>
      </c>
      <c r="I123" s="101" t="e">
        <f>#REF!</f>
        <v>#REF!</v>
      </c>
      <c r="J123" s="192" t="s">
        <v>174</v>
      </c>
      <c r="K123" s="30"/>
    </row>
    <row r="124" spans="1:17" x14ac:dyDescent="0.25">
      <c r="A124" s="96" t="s">
        <v>163</v>
      </c>
      <c r="B124" s="95" t="s">
        <v>13</v>
      </c>
      <c r="C124" s="101">
        <f t="shared" ref="C124:H124" si="80">C85</f>
        <v>0.34453623649639831</v>
      </c>
      <c r="D124" s="101">
        <f t="shared" si="80"/>
        <v>0.65653502427240906</v>
      </c>
      <c r="E124" s="101">
        <f t="shared" si="80"/>
        <v>0.3850148808202235</v>
      </c>
      <c r="F124" s="101">
        <f t="shared" si="80"/>
        <v>0.42435064851834259</v>
      </c>
      <c r="G124" s="101">
        <f t="shared" si="80"/>
        <v>0.41051367534278926</v>
      </c>
      <c r="H124" s="101">
        <f t="shared" si="80"/>
        <v>0.19367033864369351</v>
      </c>
      <c r="I124" s="102">
        <f t="shared" si="76"/>
        <v>2.4146208040938562</v>
      </c>
      <c r="J124" s="192" t="s">
        <v>175</v>
      </c>
    </row>
    <row r="125" spans="1:17" x14ac:dyDescent="0.25">
      <c r="A125" s="120" t="s">
        <v>176</v>
      </c>
      <c r="B125" s="95" t="s">
        <v>13</v>
      </c>
      <c r="C125" s="106" t="e">
        <f>SUM(C122:C124)</f>
        <v>#REF!</v>
      </c>
      <c r="D125" s="106" t="e">
        <f t="shared" ref="D125:H125" si="81">SUM(D122:D124)</f>
        <v>#REF!</v>
      </c>
      <c r="E125" s="106" t="e">
        <f t="shared" si="81"/>
        <v>#REF!</v>
      </c>
      <c r="F125" s="106" t="e">
        <f t="shared" si="81"/>
        <v>#REF!</v>
      </c>
      <c r="G125" s="106" t="e">
        <f t="shared" si="81"/>
        <v>#REF!</v>
      </c>
      <c r="H125" s="106" t="e">
        <f t="shared" si="81"/>
        <v>#REF!</v>
      </c>
      <c r="I125" s="107" t="e">
        <f t="shared" si="76"/>
        <v>#REF!</v>
      </c>
      <c r="J125" s="192" t="s">
        <v>177</v>
      </c>
      <c r="K125" s="30"/>
    </row>
    <row r="126" spans="1:17" x14ac:dyDescent="0.25">
      <c r="A126" s="121"/>
      <c r="B126" s="94"/>
      <c r="C126" s="83"/>
      <c r="D126" s="83"/>
      <c r="E126" s="83"/>
      <c r="F126" s="83"/>
      <c r="G126" s="83"/>
      <c r="H126" s="83"/>
      <c r="I126" s="108"/>
      <c r="J126" s="192"/>
    </row>
    <row r="127" spans="1:17" x14ac:dyDescent="0.25">
      <c r="A127" s="120" t="s">
        <v>178</v>
      </c>
      <c r="B127" s="94"/>
      <c r="C127" s="83"/>
      <c r="D127" s="83"/>
      <c r="E127" s="83"/>
      <c r="F127" s="83"/>
      <c r="G127" s="83"/>
      <c r="H127" s="83"/>
      <c r="I127" s="108"/>
      <c r="J127" s="194"/>
    </row>
    <row r="128" spans="1:17" x14ac:dyDescent="0.25">
      <c r="A128" s="96" t="s">
        <v>17</v>
      </c>
      <c r="B128" s="94" t="s">
        <v>14</v>
      </c>
      <c r="C128" s="83">
        <f>C133-C134</f>
        <v>31.28270018696756</v>
      </c>
      <c r="D128" s="83">
        <f t="shared" ref="D128:G128" si="82">D133-D134</f>
        <v>40.398265447174253</v>
      </c>
      <c r="E128" s="83">
        <f t="shared" si="82"/>
        <v>48.545203587141572</v>
      </c>
      <c r="F128" s="83">
        <f t="shared" si="82"/>
        <v>40.576875405696427</v>
      </c>
      <c r="G128" s="83">
        <f t="shared" si="82"/>
        <v>130.33055410197107</v>
      </c>
      <c r="H128" s="83">
        <f>H133-H134</f>
        <v>127.02565680825765</v>
      </c>
      <c r="I128" s="83">
        <f>I133-I134</f>
        <v>40.996239655359176</v>
      </c>
      <c r="J128" s="192" t="s">
        <v>179</v>
      </c>
    </row>
    <row r="129" spans="1:11" x14ac:dyDescent="0.25">
      <c r="A129" s="96" t="s">
        <v>162</v>
      </c>
      <c r="B129" s="94" t="s">
        <v>14</v>
      </c>
      <c r="C129" s="83" t="e">
        <f>C135</f>
        <v>#REF!</v>
      </c>
      <c r="D129" s="83" t="e">
        <f t="shared" ref="D129:I129" si="83">D135</f>
        <v>#REF!</v>
      </c>
      <c r="E129" s="83" t="e">
        <f t="shared" si="83"/>
        <v>#REF!</v>
      </c>
      <c r="F129" s="83" t="e">
        <f t="shared" si="83"/>
        <v>#REF!</v>
      </c>
      <c r="G129" s="83" t="e">
        <f t="shared" si="83"/>
        <v>#REF!</v>
      </c>
      <c r="H129" s="83" t="e">
        <f t="shared" si="83"/>
        <v>#REF!</v>
      </c>
      <c r="I129" s="83" t="e">
        <f t="shared" si="83"/>
        <v>#REF!</v>
      </c>
      <c r="J129" s="192" t="s">
        <v>180</v>
      </c>
    </row>
    <row r="130" spans="1:11" x14ac:dyDescent="0.25">
      <c r="A130" s="96" t="s">
        <v>163</v>
      </c>
      <c r="B130" s="94" t="s">
        <v>14</v>
      </c>
      <c r="C130" s="83">
        <f t="shared" ref="C130:I130" si="84">C87</f>
        <v>9.5231061508737405</v>
      </c>
      <c r="D130" s="83">
        <f t="shared" si="84"/>
        <v>34.902203781017924</v>
      </c>
      <c r="E130" s="83">
        <f t="shared" si="84"/>
        <v>27.131248495170507</v>
      </c>
      <c r="F130" s="83">
        <f t="shared" si="84"/>
        <v>31.829825383528188</v>
      </c>
      <c r="G130" s="83">
        <f t="shared" si="84"/>
        <v>63.314614528603499</v>
      </c>
      <c r="H130" s="83">
        <f t="shared" si="84"/>
        <v>53.872810054404439</v>
      </c>
      <c r="I130" s="108">
        <f t="shared" si="84"/>
        <v>26.078344444379152</v>
      </c>
      <c r="J130" s="192" t="s">
        <v>181</v>
      </c>
    </row>
    <row r="131" spans="1:11" x14ac:dyDescent="0.25">
      <c r="A131" s="121"/>
      <c r="B131" s="93"/>
      <c r="C131" s="109"/>
      <c r="D131" s="109"/>
      <c r="E131" s="109"/>
      <c r="F131" s="109"/>
      <c r="G131" s="109"/>
      <c r="H131" s="109"/>
      <c r="I131" s="110"/>
      <c r="J131" s="192"/>
    </row>
    <row r="132" spans="1:11" x14ac:dyDescent="0.25">
      <c r="A132" s="168" t="s">
        <v>182</v>
      </c>
      <c r="B132" s="169"/>
      <c r="C132" s="170"/>
      <c r="D132" s="170"/>
      <c r="E132" s="170"/>
      <c r="F132" s="170"/>
      <c r="G132" s="170"/>
      <c r="H132" s="170"/>
      <c r="I132" s="171"/>
      <c r="J132" s="192"/>
    </row>
    <row r="133" spans="1:11" x14ac:dyDescent="0.25">
      <c r="A133" s="172" t="s">
        <v>183</v>
      </c>
      <c r="B133" s="173" t="s">
        <v>14</v>
      </c>
      <c r="C133" s="167">
        <f t="shared" ref="C133:I133" si="85">C10</f>
        <v>167.07270018696755</v>
      </c>
      <c r="D133" s="167">
        <f t="shared" si="85"/>
        <v>177.43826544717425</v>
      </c>
      <c r="E133" s="167">
        <f t="shared" si="85"/>
        <v>202.52520358714156</v>
      </c>
      <c r="F133" s="167">
        <f t="shared" si="85"/>
        <v>198.37687540569644</v>
      </c>
      <c r="G133" s="167">
        <f t="shared" si="85"/>
        <v>322.02055410197107</v>
      </c>
      <c r="H133" s="167">
        <f t="shared" si="85"/>
        <v>323.75565680825764</v>
      </c>
      <c r="I133" s="174">
        <f t="shared" si="85"/>
        <v>189.49623965535918</v>
      </c>
      <c r="J133" s="192" t="s">
        <v>184</v>
      </c>
    </row>
    <row r="134" spans="1:11" x14ac:dyDescent="0.25">
      <c r="A134" s="172" t="s">
        <v>185</v>
      </c>
      <c r="B134" s="173" t="s">
        <v>14</v>
      </c>
      <c r="C134" s="167">
        <f t="shared" ref="C134:I134" si="86">C15</f>
        <v>135.79</v>
      </c>
      <c r="D134" s="167">
        <f t="shared" si="86"/>
        <v>137.04</v>
      </c>
      <c r="E134" s="167">
        <f t="shared" si="86"/>
        <v>153.97999999999999</v>
      </c>
      <c r="F134" s="167">
        <f t="shared" si="86"/>
        <v>157.80000000000001</v>
      </c>
      <c r="G134" s="167">
        <f t="shared" si="86"/>
        <v>191.69</v>
      </c>
      <c r="H134" s="167">
        <f t="shared" si="86"/>
        <v>196.73</v>
      </c>
      <c r="I134" s="174">
        <f t="shared" si="86"/>
        <v>148.5</v>
      </c>
      <c r="J134" s="192" t="s">
        <v>186</v>
      </c>
    </row>
    <row r="135" spans="1:11" x14ac:dyDescent="0.25">
      <c r="A135" s="172" t="s">
        <v>187</v>
      </c>
      <c r="B135" s="173" t="s">
        <v>14</v>
      </c>
      <c r="C135" s="167" t="e">
        <f>C134-C136</f>
        <v>#REF!</v>
      </c>
      <c r="D135" s="167" t="e">
        <f t="shared" ref="D135:I135" si="87">D134-D136</f>
        <v>#REF!</v>
      </c>
      <c r="E135" s="167" t="e">
        <f t="shared" si="87"/>
        <v>#REF!</v>
      </c>
      <c r="F135" s="167" t="e">
        <f t="shared" si="87"/>
        <v>#REF!</v>
      </c>
      <c r="G135" s="167" t="e">
        <f t="shared" si="87"/>
        <v>#REF!</v>
      </c>
      <c r="H135" s="167" t="e">
        <f t="shared" si="87"/>
        <v>#REF!</v>
      </c>
      <c r="I135" s="167" t="e">
        <f t="shared" si="87"/>
        <v>#REF!</v>
      </c>
      <c r="J135" s="192"/>
    </row>
    <row r="136" spans="1:11" x14ac:dyDescent="0.25">
      <c r="A136" s="172" t="s">
        <v>188</v>
      </c>
      <c r="B136" s="173" t="s">
        <v>14</v>
      </c>
      <c r="C136" s="167" t="e">
        <f>#REF!</f>
        <v>#REF!</v>
      </c>
      <c r="D136" s="167" t="e">
        <f>#REF!</f>
        <v>#REF!</v>
      </c>
      <c r="E136" s="167" t="e">
        <f>#REF!</f>
        <v>#REF!</v>
      </c>
      <c r="F136" s="167" t="e">
        <f>#REF!</f>
        <v>#REF!</v>
      </c>
      <c r="G136" s="167" t="e">
        <f>#REF!</f>
        <v>#REF!</v>
      </c>
      <c r="H136" s="167" t="e">
        <f>#REF!</f>
        <v>#REF!</v>
      </c>
      <c r="I136" s="219" t="e">
        <f>#REF!</f>
        <v>#REF!</v>
      </c>
      <c r="J136" s="192" t="s">
        <v>189</v>
      </c>
      <c r="K136" s="30"/>
    </row>
    <row r="137" spans="1:11" x14ac:dyDescent="0.25">
      <c r="A137" s="172" t="s">
        <v>190</v>
      </c>
      <c r="B137" s="173" t="s">
        <v>14</v>
      </c>
      <c r="C137" s="167">
        <f t="shared" ref="C137:I137" si="88">C87</f>
        <v>9.5231061508737405</v>
      </c>
      <c r="D137" s="167">
        <f t="shared" si="88"/>
        <v>34.902203781017924</v>
      </c>
      <c r="E137" s="167">
        <f t="shared" si="88"/>
        <v>27.131248495170507</v>
      </c>
      <c r="F137" s="167">
        <f t="shared" si="88"/>
        <v>31.829825383528188</v>
      </c>
      <c r="G137" s="167">
        <f t="shared" si="88"/>
        <v>63.314614528603499</v>
      </c>
      <c r="H137" s="167">
        <f t="shared" si="88"/>
        <v>53.872810054404439</v>
      </c>
      <c r="I137" s="167">
        <f t="shared" si="88"/>
        <v>26.078344444379152</v>
      </c>
      <c r="J137" s="192"/>
      <c r="K137" s="30"/>
    </row>
    <row r="138" spans="1:11" x14ac:dyDescent="0.25">
      <c r="A138" s="172" t="s">
        <v>191</v>
      </c>
      <c r="B138" s="173" t="s">
        <v>14</v>
      </c>
      <c r="C138" s="167" t="e">
        <f>C136-C137</f>
        <v>#REF!</v>
      </c>
      <c r="D138" s="167" t="e">
        <f t="shared" ref="D138:I138" si="89">D136-D137</f>
        <v>#REF!</v>
      </c>
      <c r="E138" s="167" t="e">
        <f t="shared" si="89"/>
        <v>#REF!</v>
      </c>
      <c r="F138" s="167" t="e">
        <f t="shared" si="89"/>
        <v>#REF!</v>
      </c>
      <c r="G138" s="167" t="e">
        <f t="shared" si="89"/>
        <v>#REF!</v>
      </c>
      <c r="H138" s="167" t="e">
        <f t="shared" si="89"/>
        <v>#REF!</v>
      </c>
      <c r="I138" s="219" t="e">
        <f t="shared" si="89"/>
        <v>#REF!</v>
      </c>
      <c r="J138" s="192" t="s">
        <v>192</v>
      </c>
    </row>
    <row r="139" spans="1:11" x14ac:dyDescent="0.25">
      <c r="A139" s="215" t="s">
        <v>193</v>
      </c>
      <c r="B139" s="216" t="s">
        <v>194</v>
      </c>
      <c r="C139" s="217" t="e">
        <f>#REF!+#REF!</f>
        <v>#REF!</v>
      </c>
      <c r="D139" s="217" t="e">
        <f>#REF!+#REF!</f>
        <v>#REF!</v>
      </c>
      <c r="E139" s="217" t="e">
        <f>#REF!+#REF!</f>
        <v>#REF!</v>
      </c>
      <c r="F139" s="217" t="e">
        <f>#REF!+#REF!</f>
        <v>#REF!</v>
      </c>
      <c r="G139" s="217" t="e">
        <f>#REF!+#REF!</f>
        <v>#REF!</v>
      </c>
      <c r="H139" s="217" t="e">
        <f>#REF!+#REF!</f>
        <v>#REF!</v>
      </c>
      <c r="I139" s="220" t="e">
        <f>#REF!+#REF!</f>
        <v>#REF!</v>
      </c>
      <c r="J139" s="192"/>
    </row>
    <row r="140" spans="1:11" x14ac:dyDescent="0.25">
      <c r="A140" s="121"/>
      <c r="B140" s="93"/>
      <c r="C140" s="93"/>
      <c r="D140" s="93"/>
      <c r="E140" s="93"/>
      <c r="F140" s="93"/>
      <c r="G140" s="93"/>
      <c r="H140" s="93"/>
      <c r="I140" s="218"/>
      <c r="J140" s="192" t="s">
        <v>195</v>
      </c>
    </row>
    <row r="141" spans="1:11" x14ac:dyDescent="0.25">
      <c r="J141" s="192"/>
    </row>
    <row r="142" spans="1:11" x14ac:dyDescent="0.25">
      <c r="J142" s="192"/>
    </row>
    <row r="143" spans="1:11" x14ac:dyDescent="0.25">
      <c r="J143" s="192"/>
    </row>
    <row r="144" spans="1:11" x14ac:dyDescent="0.25">
      <c r="J144" s="192"/>
    </row>
    <row r="145" spans="10:15" x14ac:dyDescent="0.25">
      <c r="J145" s="192"/>
    </row>
    <row r="146" spans="10:15" x14ac:dyDescent="0.25">
      <c r="J146" s="192"/>
    </row>
    <row r="147" spans="10:15" x14ac:dyDescent="0.25">
      <c r="J147" s="192"/>
    </row>
    <row r="148" spans="10:15" x14ac:dyDescent="0.25">
      <c r="J148" s="192"/>
    </row>
    <row r="149" spans="10:15" x14ac:dyDescent="0.25">
      <c r="J149" s="192"/>
    </row>
    <row r="150" spans="10:15" x14ac:dyDescent="0.25">
      <c r="J150" s="192"/>
    </row>
    <row r="151" spans="10:15" x14ac:dyDescent="0.25">
      <c r="J151" s="192"/>
    </row>
    <row r="152" spans="10:15" x14ac:dyDescent="0.25">
      <c r="J152" s="192"/>
    </row>
    <row r="153" spans="10:15" x14ac:dyDescent="0.25">
      <c r="J153" s="192"/>
      <c r="K153" s="30"/>
      <c r="L153" s="30"/>
      <c r="M153" s="30"/>
      <c r="N153" s="30"/>
      <c r="O153" s="30"/>
    </row>
    <row r="154" spans="10:15" x14ac:dyDescent="0.25">
      <c r="J154" s="192"/>
    </row>
    <row r="155" spans="10:15" x14ac:dyDescent="0.25">
      <c r="J155" s="192"/>
      <c r="K155" s="30"/>
      <c r="L155" s="30"/>
      <c r="M155" s="30"/>
      <c r="N155" s="30"/>
      <c r="O155" s="30"/>
    </row>
    <row r="156" spans="10:15" x14ac:dyDescent="0.25">
      <c r="J156" s="192"/>
    </row>
    <row r="157" spans="10:15" x14ac:dyDescent="0.25">
      <c r="J157" s="192"/>
      <c r="K157" s="30"/>
      <c r="L157" s="30"/>
      <c r="M157" s="30"/>
      <c r="N157" s="30"/>
      <c r="O157" s="30"/>
    </row>
    <row r="158" spans="10:15" x14ac:dyDescent="0.25">
      <c r="J158" s="192"/>
      <c r="K158" s="30"/>
      <c r="L158" s="30"/>
      <c r="M158" s="30"/>
      <c r="N158" s="30"/>
      <c r="O158" s="30"/>
    </row>
    <row r="159" spans="10:15" x14ac:dyDescent="0.25">
      <c r="J159" s="192"/>
      <c r="K159" s="30"/>
      <c r="L159" s="30"/>
      <c r="M159" s="30"/>
      <c r="N159" s="30"/>
      <c r="O159" s="30"/>
    </row>
    <row r="160" spans="10:15" x14ac:dyDescent="0.25">
      <c r="J160" s="192"/>
      <c r="K160" s="30"/>
      <c r="L160" s="30"/>
      <c r="M160" s="30"/>
      <c r="N160" s="30"/>
      <c r="O160" s="30"/>
    </row>
    <row r="161" spans="10:15" x14ac:dyDescent="0.25">
      <c r="J161" s="192"/>
      <c r="K161" s="30"/>
      <c r="L161" s="30"/>
      <c r="M161" s="30"/>
      <c r="N161" s="30"/>
      <c r="O161" s="30"/>
    </row>
    <row r="162" spans="10:15" x14ac:dyDescent="0.25">
      <c r="J162" s="192"/>
      <c r="K162" s="30"/>
      <c r="L162" s="30"/>
      <c r="M162" s="30"/>
      <c r="N162" s="30"/>
      <c r="O162" s="30"/>
    </row>
    <row r="163" spans="10:15" x14ac:dyDescent="0.25">
      <c r="J163" s="192"/>
      <c r="K163" s="30"/>
      <c r="L163" s="30"/>
      <c r="M163" s="30"/>
      <c r="N163" s="30"/>
      <c r="O163" s="30"/>
    </row>
    <row r="164" spans="10:15" x14ac:dyDescent="0.25">
      <c r="J164" s="192"/>
      <c r="K164" s="30"/>
      <c r="L164" s="30"/>
      <c r="M164" s="30"/>
      <c r="N164" s="30"/>
      <c r="O164" s="30"/>
    </row>
    <row r="165" spans="10:15" x14ac:dyDescent="0.25">
      <c r="J165" s="192"/>
      <c r="K165" s="30"/>
      <c r="L165" s="30"/>
      <c r="M165" s="30"/>
      <c r="N165" s="30"/>
      <c r="O165" s="30"/>
    </row>
    <row r="166" spans="10:15" x14ac:dyDescent="0.25">
      <c r="J166" s="192"/>
      <c r="K166" s="30"/>
      <c r="L166" s="30"/>
      <c r="M166" s="30"/>
      <c r="N166" s="30"/>
      <c r="O166" s="30"/>
    </row>
    <row r="167" spans="10:15" x14ac:dyDescent="0.25">
      <c r="J167" s="192"/>
      <c r="K167" s="30"/>
      <c r="L167" s="30"/>
      <c r="M167" s="30"/>
      <c r="N167" s="30"/>
      <c r="O167" s="30"/>
    </row>
    <row r="168" spans="10:15" x14ac:dyDescent="0.25">
      <c r="J168" s="192"/>
      <c r="K168" s="30"/>
      <c r="L168" s="30"/>
      <c r="M168" s="30"/>
      <c r="N168" s="30"/>
      <c r="O168" s="30"/>
    </row>
    <row r="169" spans="10:15" x14ac:dyDescent="0.25">
      <c r="J169" s="192"/>
      <c r="K169" s="30"/>
      <c r="L169" s="30"/>
      <c r="M169" s="30"/>
      <c r="N169" s="30"/>
      <c r="O169" s="30"/>
    </row>
    <row r="170" spans="10:15" x14ac:dyDescent="0.25">
      <c r="J170" s="192"/>
      <c r="K170" s="30"/>
      <c r="L170" s="30"/>
      <c r="M170" s="30"/>
      <c r="N170" s="30"/>
      <c r="O170" s="30"/>
    </row>
    <row r="171" spans="10:15" x14ac:dyDescent="0.25">
      <c r="J171" s="192"/>
      <c r="K171" s="30"/>
      <c r="L171" s="30"/>
      <c r="M171" s="30"/>
      <c r="N171" s="30"/>
      <c r="O171" s="30"/>
    </row>
    <row r="172" spans="10:15" x14ac:dyDescent="0.25">
      <c r="J172" s="192"/>
      <c r="K172" s="30"/>
      <c r="L172" s="30"/>
      <c r="M172" s="30"/>
      <c r="N172" s="30"/>
      <c r="O172" s="30"/>
    </row>
    <row r="173" spans="10:15" x14ac:dyDescent="0.25">
      <c r="J173" s="192"/>
      <c r="K173" s="30"/>
      <c r="L173" s="30"/>
      <c r="M173" s="30"/>
      <c r="N173" s="30"/>
      <c r="O173" s="30"/>
    </row>
    <row r="174" spans="10:15" x14ac:dyDescent="0.25">
      <c r="J174" s="192"/>
      <c r="K174" s="30"/>
      <c r="L174" s="30"/>
      <c r="M174" s="30"/>
      <c r="N174" s="30"/>
      <c r="O174" s="30"/>
    </row>
    <row r="175" spans="10:15" x14ac:dyDescent="0.25">
      <c r="K175" s="30"/>
      <c r="L175" s="30"/>
      <c r="M175" s="30"/>
      <c r="N175" s="30"/>
      <c r="O175" s="30"/>
    </row>
  </sheetData>
  <mergeCells count="1">
    <mergeCell ref="A22:A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BB17F-4E2A-48D4-8A51-F78A7AA9E48F}">
  <dimension ref="A1:L89"/>
  <sheetViews>
    <sheetView topLeftCell="A16" zoomScale="130" zoomScaleNormal="130" workbookViewId="0">
      <selection activeCell="J25" sqref="J25"/>
    </sheetView>
  </sheetViews>
  <sheetFormatPr defaultRowHeight="15" x14ac:dyDescent="0.25"/>
  <cols>
    <col min="1" max="1" width="45.28515625" style="192" customWidth="1"/>
    <col min="2" max="2" width="9.140625" style="192"/>
    <col min="3" max="3" width="9.28515625" style="192" bestFit="1" customWidth="1"/>
    <col min="4" max="4" width="9" style="192" bestFit="1" customWidth="1"/>
    <col min="5" max="8" width="8.140625" style="192" bestFit="1" customWidth="1"/>
    <col min="9" max="9" width="9" style="192" bestFit="1" customWidth="1"/>
  </cols>
  <sheetData>
    <row r="1" spans="1:11" x14ac:dyDescent="0.25">
      <c r="A1" s="129" t="s">
        <v>58</v>
      </c>
      <c r="B1" s="129"/>
      <c r="C1" s="130" t="s">
        <v>0</v>
      </c>
      <c r="D1" s="130" t="s">
        <v>1</v>
      </c>
      <c r="E1" s="130" t="s">
        <v>2</v>
      </c>
      <c r="F1" s="130" t="s">
        <v>3</v>
      </c>
      <c r="G1" s="130" t="s">
        <v>4</v>
      </c>
      <c r="H1" s="130" t="s">
        <v>5</v>
      </c>
      <c r="I1" s="130" t="s">
        <v>6</v>
      </c>
      <c r="J1" s="130" t="s">
        <v>196</v>
      </c>
      <c r="K1" s="130" t="s">
        <v>197</v>
      </c>
    </row>
    <row r="2" spans="1:1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2"/>
      <c r="K2" s="2"/>
    </row>
    <row r="3" spans="1:11" x14ac:dyDescent="0.25">
      <c r="A3" s="233" t="s">
        <v>198</v>
      </c>
      <c r="B3" s="234" t="s">
        <v>14</v>
      </c>
      <c r="C3" s="235">
        <f>'Poupança 2028-2029'!C10</f>
        <v>167.07270018696755</v>
      </c>
      <c r="D3" s="235">
        <f>'Poupança 2028-2029'!D10</f>
        <v>177.43826544717425</v>
      </c>
      <c r="E3" s="235">
        <f>'Poupança 2028-2029'!E10</f>
        <v>202.52520358714156</v>
      </c>
      <c r="F3" s="235">
        <f>'Poupança 2028-2029'!F10</f>
        <v>198.37687540569644</v>
      </c>
      <c r="G3" s="235">
        <f>'Poupança 2028-2029'!G10</f>
        <v>322.02055410197107</v>
      </c>
      <c r="H3" s="235">
        <f>'Poupança 2028-2029'!H10</f>
        <v>323.75565680825764</v>
      </c>
      <c r="I3" s="235">
        <f>'Poupança 2028-2029'!I10</f>
        <v>189.49623965535918</v>
      </c>
      <c r="J3" s="253">
        <f>0.642*C3+0.358*D3</f>
        <v>170.78357255012153</v>
      </c>
      <c r="K3" s="236">
        <f>0.384*E3+0.382*F3+0.234*G3</f>
        <v>228.90245424229965</v>
      </c>
    </row>
    <row r="4" spans="1:11" x14ac:dyDescent="0.25">
      <c r="A4" s="237" t="s">
        <v>199</v>
      </c>
      <c r="B4" s="238" t="s">
        <v>14</v>
      </c>
      <c r="C4" s="239">
        <f>'Poupança 2028-2029'!C15</f>
        <v>135.79</v>
      </c>
      <c r="D4" s="239">
        <f>'Poupança 2028-2029'!D15</f>
        <v>137.04</v>
      </c>
      <c r="E4" s="239">
        <f>'Poupança 2028-2029'!E15</f>
        <v>153.97999999999999</v>
      </c>
      <c r="F4" s="239">
        <f>'Poupança 2028-2029'!F15</f>
        <v>157.80000000000001</v>
      </c>
      <c r="G4" s="239">
        <f>'Poupança 2028-2029'!G15</f>
        <v>191.69</v>
      </c>
      <c r="H4" s="239">
        <f>'Poupança 2028-2029'!H15</f>
        <v>196.73</v>
      </c>
      <c r="I4" s="239">
        <f>'Poupança 2028-2029'!I15</f>
        <v>148.5</v>
      </c>
      <c r="J4" s="254">
        <v>136.22999999999999</v>
      </c>
      <c r="K4" s="240">
        <v>162.58000000000001</v>
      </c>
    </row>
    <row r="5" spans="1:1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2"/>
      <c r="K5" s="2"/>
    </row>
    <row r="6" spans="1:11" x14ac:dyDescent="0.25">
      <c r="A6" s="241" t="s">
        <v>200</v>
      </c>
      <c r="B6" s="226"/>
      <c r="C6" s="226"/>
      <c r="D6" s="226"/>
      <c r="E6" s="226"/>
      <c r="F6" s="226"/>
      <c r="G6" s="226"/>
      <c r="H6" s="226"/>
      <c r="I6" s="242"/>
      <c r="J6" s="255"/>
      <c r="K6" s="256"/>
    </row>
    <row r="7" spans="1:11" x14ac:dyDescent="0.25">
      <c r="A7" s="243" t="s">
        <v>201</v>
      </c>
      <c r="B7" s="133" t="s">
        <v>9</v>
      </c>
      <c r="C7" s="244">
        <f>'Poupança 2028-2029'!C16</f>
        <v>33.400999999999996</v>
      </c>
      <c r="D7" s="244">
        <f>'Poupança 2028-2029'!D16</f>
        <v>16.556000000000001</v>
      </c>
      <c r="E7" s="244">
        <f>'Poupança 2028-2029'!E16</f>
        <v>11.066000000000001</v>
      </c>
      <c r="F7" s="244">
        <f>'Poupança 2028-2029'!F16</f>
        <v>10.228</v>
      </c>
      <c r="G7" s="244">
        <f>'Poupança 2028-2029'!G16</f>
        <v>4.7480000000000002</v>
      </c>
      <c r="H7" s="244">
        <f>'Poupança 2028-2029'!H16</f>
        <v>2.6840000000000002</v>
      </c>
      <c r="I7" s="245">
        <f>'Poupança 2028-2029'!I16</f>
        <v>78.682999999999993</v>
      </c>
      <c r="J7" s="257">
        <f>C7+D7</f>
        <v>49.956999999999994</v>
      </c>
      <c r="K7" s="245">
        <f>E7+F7+G7</f>
        <v>26.042000000000002</v>
      </c>
    </row>
    <row r="8" spans="1:11" x14ac:dyDescent="0.25">
      <c r="A8" s="243" t="s">
        <v>202</v>
      </c>
      <c r="B8" s="133" t="s">
        <v>13</v>
      </c>
      <c r="C8" s="213">
        <f>C4*C7/1000</f>
        <v>4.5355217899999989</v>
      </c>
      <c r="D8" s="213">
        <f t="shared" ref="D8:I8" si="0">D4*D7/1000</f>
        <v>2.2688342400000003</v>
      </c>
      <c r="E8" s="213">
        <f t="shared" si="0"/>
        <v>1.7039426800000002</v>
      </c>
      <c r="F8" s="213">
        <f t="shared" si="0"/>
        <v>1.6139783999999999</v>
      </c>
      <c r="G8" s="213">
        <f t="shared" si="0"/>
        <v>0.91014412</v>
      </c>
      <c r="H8" s="213">
        <f t="shared" si="0"/>
        <v>0.52802331999999996</v>
      </c>
      <c r="I8" s="246">
        <f t="shared" si="0"/>
        <v>11.6844255</v>
      </c>
      <c r="J8" s="257">
        <f t="shared" ref="J8:J9" si="1">C8+D8</f>
        <v>6.8043560299999992</v>
      </c>
      <c r="K8" s="245">
        <f t="shared" ref="K8:K9" si="2">E8+F8+G8</f>
        <v>4.2280651999999996</v>
      </c>
    </row>
    <row r="9" spans="1:11" x14ac:dyDescent="0.25">
      <c r="A9" s="243" t="s">
        <v>203</v>
      </c>
      <c r="B9" s="133" t="s">
        <v>13</v>
      </c>
      <c r="C9" s="213">
        <f>(C3-C4)*C7/1000</f>
        <v>1.0448734689449033</v>
      </c>
      <c r="D9" s="213">
        <f t="shared" ref="D9:I9" si="3">(D3-D4)*D7/1000</f>
        <v>0.66883368274341692</v>
      </c>
      <c r="E9" s="213">
        <f t="shared" si="3"/>
        <v>0.53720122289530869</v>
      </c>
      <c r="F9" s="213">
        <f t="shared" si="3"/>
        <v>0.41502028164946309</v>
      </c>
      <c r="G9" s="213">
        <f t="shared" si="3"/>
        <v>0.61880947087615867</v>
      </c>
      <c r="H9" s="213">
        <f t="shared" si="3"/>
        <v>0.34093686287336356</v>
      </c>
      <c r="I9" s="246">
        <f t="shared" si="3"/>
        <v>3.2257071248026259</v>
      </c>
      <c r="J9" s="257">
        <f t="shared" si="1"/>
        <v>1.7137071516883202</v>
      </c>
      <c r="K9" s="245">
        <f t="shared" si="2"/>
        <v>1.5710309754209304</v>
      </c>
    </row>
    <row r="10" spans="1:11" x14ac:dyDescent="0.25">
      <c r="A10" s="243" t="s">
        <v>204</v>
      </c>
      <c r="B10" s="133" t="s">
        <v>14</v>
      </c>
      <c r="C10" s="213">
        <f t="shared" ref="C10:K10" si="4">C3-C4</f>
        <v>31.28270018696756</v>
      </c>
      <c r="D10" s="213">
        <f t="shared" si="4"/>
        <v>40.398265447174253</v>
      </c>
      <c r="E10" s="213">
        <f t="shared" si="4"/>
        <v>48.545203587141572</v>
      </c>
      <c r="F10" s="213">
        <f t="shared" si="4"/>
        <v>40.576875405696427</v>
      </c>
      <c r="G10" s="213">
        <f t="shared" si="4"/>
        <v>130.33055410197107</v>
      </c>
      <c r="H10" s="213">
        <f t="shared" si="4"/>
        <v>127.02565680825765</v>
      </c>
      <c r="I10" s="246">
        <f t="shared" si="4"/>
        <v>40.996239655359176</v>
      </c>
      <c r="J10" s="257">
        <f t="shared" si="4"/>
        <v>34.553572550121544</v>
      </c>
      <c r="K10" s="245">
        <f t="shared" si="4"/>
        <v>66.322454242299642</v>
      </c>
    </row>
    <row r="11" spans="1:11" x14ac:dyDescent="0.25">
      <c r="A11" s="247" t="s">
        <v>205</v>
      </c>
      <c r="B11" s="211" t="s">
        <v>14</v>
      </c>
      <c r="C11" s="231">
        <f>C4</f>
        <v>135.79</v>
      </c>
      <c r="D11" s="231">
        <f t="shared" ref="D11:K11" si="5">D4</f>
        <v>137.04</v>
      </c>
      <c r="E11" s="231">
        <f t="shared" si="5"/>
        <v>153.97999999999999</v>
      </c>
      <c r="F11" s="231">
        <f t="shared" si="5"/>
        <v>157.80000000000001</v>
      </c>
      <c r="G11" s="231">
        <f t="shared" si="5"/>
        <v>191.69</v>
      </c>
      <c r="H11" s="231">
        <f t="shared" si="5"/>
        <v>196.73</v>
      </c>
      <c r="I11" s="248">
        <f t="shared" si="5"/>
        <v>148.5</v>
      </c>
      <c r="J11" s="258">
        <f t="shared" si="5"/>
        <v>136.22999999999999</v>
      </c>
      <c r="K11" s="259">
        <f t="shared" si="5"/>
        <v>162.58000000000001</v>
      </c>
    </row>
    <row r="12" spans="1:11" x14ac:dyDescent="0.25">
      <c r="A12" s="133"/>
      <c r="B12" s="133"/>
      <c r="C12" s="133"/>
      <c r="D12" s="133"/>
      <c r="E12" s="133"/>
      <c r="F12" s="133"/>
      <c r="G12" s="133"/>
      <c r="H12" s="133"/>
      <c r="I12" s="133"/>
      <c r="J12" s="2"/>
      <c r="K12" s="2"/>
    </row>
    <row r="13" spans="1:11" x14ac:dyDescent="0.25">
      <c r="A13" s="241" t="s">
        <v>206</v>
      </c>
      <c r="B13" s="226"/>
      <c r="C13" s="226"/>
      <c r="D13" s="226"/>
      <c r="E13" s="226"/>
      <c r="F13" s="226"/>
      <c r="G13" s="226"/>
      <c r="H13" s="226"/>
      <c r="I13" s="226"/>
      <c r="J13" s="255"/>
      <c r="K13" s="256"/>
    </row>
    <row r="14" spans="1:11" x14ac:dyDescent="0.25">
      <c r="A14" s="96" t="s">
        <v>121</v>
      </c>
      <c r="B14" s="137" t="s">
        <v>38</v>
      </c>
      <c r="C14" s="138">
        <f>7.7/2</f>
        <v>3.85</v>
      </c>
      <c r="D14" s="138">
        <v>3.05</v>
      </c>
      <c r="E14" s="138">
        <f>3.376/2</f>
        <v>1.6879999999999999</v>
      </c>
      <c r="F14" s="138">
        <f>3.7*0.5</f>
        <v>1.85</v>
      </c>
      <c r="G14" s="138">
        <v>1.0129999999999999</v>
      </c>
      <c r="H14" s="138">
        <f>1.449/2</f>
        <v>0.72450000000000003</v>
      </c>
      <c r="I14" s="138"/>
      <c r="J14" s="33"/>
      <c r="K14" s="35"/>
    </row>
    <row r="15" spans="1:11" x14ac:dyDescent="0.25">
      <c r="A15" s="96" t="s">
        <v>122</v>
      </c>
      <c r="B15" s="137" t="s">
        <v>123</v>
      </c>
      <c r="C15" s="138">
        <v>3.54</v>
      </c>
      <c r="D15" s="138">
        <v>2.93</v>
      </c>
      <c r="E15" s="138">
        <v>5</v>
      </c>
      <c r="F15" s="138">
        <v>5</v>
      </c>
      <c r="G15" s="138">
        <v>5</v>
      </c>
      <c r="H15" s="138">
        <v>4</v>
      </c>
      <c r="I15" s="138"/>
      <c r="J15" s="33"/>
      <c r="K15" s="35"/>
    </row>
    <row r="16" spans="1:11" x14ac:dyDescent="0.25">
      <c r="A16" s="96" t="s">
        <v>124</v>
      </c>
      <c r="B16" s="137"/>
      <c r="C16" s="202">
        <v>313</v>
      </c>
      <c r="D16" s="202">
        <v>313</v>
      </c>
      <c r="E16" s="202">
        <v>365</v>
      </c>
      <c r="F16" s="202">
        <v>365</v>
      </c>
      <c r="G16" s="202">
        <v>365</v>
      </c>
      <c r="H16" s="202">
        <v>365</v>
      </c>
      <c r="I16" s="138"/>
      <c r="J16" s="33"/>
      <c r="K16" s="35"/>
    </row>
    <row r="17" spans="1:11" x14ac:dyDescent="0.25">
      <c r="A17" s="243" t="s">
        <v>207</v>
      </c>
      <c r="B17" s="133" t="s">
        <v>9</v>
      </c>
      <c r="C17" s="213">
        <f t="shared" ref="C17:H17" si="6">C14*C15*C16/1000</f>
        <v>4.2658770000000006</v>
      </c>
      <c r="D17" s="213">
        <f t="shared" si="6"/>
        <v>2.7971245000000002</v>
      </c>
      <c r="E17" s="213">
        <f t="shared" si="6"/>
        <v>3.0806</v>
      </c>
      <c r="F17" s="213">
        <f t="shared" si="6"/>
        <v>3.3762500000000002</v>
      </c>
      <c r="G17" s="213">
        <f t="shared" si="6"/>
        <v>1.848725</v>
      </c>
      <c r="H17" s="213">
        <f t="shared" si="6"/>
        <v>1.0577699999999999</v>
      </c>
      <c r="I17" s="213">
        <f>SUM(C17:H17)</f>
        <v>16.426346500000001</v>
      </c>
      <c r="J17" s="261">
        <f t="shared" ref="J17:J23" si="7">C17+D17</f>
        <v>7.0630015000000004</v>
      </c>
      <c r="K17" s="246">
        <f t="shared" ref="K17:K23" si="8">E17+F17+G17</f>
        <v>8.305575000000001</v>
      </c>
    </row>
    <row r="18" spans="1:11" x14ac:dyDescent="0.25">
      <c r="A18" s="243" t="s">
        <v>208</v>
      </c>
      <c r="B18" s="133" t="s">
        <v>9</v>
      </c>
      <c r="C18" s="213">
        <f>'Poupança 2028-2029'!C65</f>
        <v>2.7779768000000007</v>
      </c>
      <c r="D18" s="213">
        <f>'Poupança 2028-2029'!D65</f>
        <v>2.2547039999999998</v>
      </c>
      <c r="E18" s="213">
        <f>'Poupança 2028-2029'!E65</f>
        <v>3.1248280000000004</v>
      </c>
      <c r="F18" s="213">
        <f>'Poupança 2028-2029'!F65</f>
        <v>3.1038560000000004</v>
      </c>
      <c r="G18" s="213">
        <f>'Poupança 2028-2029'!G65</f>
        <v>1.7357111999999999</v>
      </c>
      <c r="H18" s="213">
        <f>'Poupança 2028-2029'!H65</f>
        <v>0.91095520000000008</v>
      </c>
      <c r="I18" s="213">
        <f>'Poupança 2028-2029'!I65</f>
        <v>13.9080312</v>
      </c>
      <c r="J18" s="261">
        <f t="shared" ref="J18" si="9">C18+D18</f>
        <v>5.0326808000000005</v>
      </c>
      <c r="K18" s="246">
        <f t="shared" ref="K18" si="10">E18+F18+G18</f>
        <v>7.9643952000000011</v>
      </c>
    </row>
    <row r="19" spans="1:11" x14ac:dyDescent="0.25">
      <c r="A19" s="243" t="s">
        <v>209</v>
      </c>
      <c r="B19" s="133" t="s">
        <v>13</v>
      </c>
      <c r="C19" s="213">
        <f>C4*C18/1000</f>
        <v>0.37722146967200004</v>
      </c>
      <c r="D19" s="213">
        <f t="shared" ref="D19:H19" si="11">D4*D18/1000</f>
        <v>0.30898463615999999</v>
      </c>
      <c r="E19" s="213">
        <f t="shared" si="11"/>
        <v>0.48116101544000001</v>
      </c>
      <c r="F19" s="213">
        <f t="shared" si="11"/>
        <v>0.48978847680000009</v>
      </c>
      <c r="G19" s="213">
        <f t="shared" si="11"/>
        <v>0.33271847992799997</v>
      </c>
      <c r="H19" s="213">
        <f t="shared" si="11"/>
        <v>0.179212216496</v>
      </c>
      <c r="I19" s="213">
        <f>SUM(C19:H19)</f>
        <v>2.1690862944960001</v>
      </c>
      <c r="J19" s="261">
        <f t="shared" si="7"/>
        <v>0.68620610583200004</v>
      </c>
      <c r="K19" s="246">
        <f t="shared" si="8"/>
        <v>1.3036679721680002</v>
      </c>
    </row>
    <row r="20" spans="1:11" x14ac:dyDescent="0.25">
      <c r="A20" s="243" t="s">
        <v>210</v>
      </c>
      <c r="B20" s="133" t="s">
        <v>13</v>
      </c>
      <c r="C20" s="213">
        <f>-'Poupança 2028-2029'!C53</f>
        <v>-0.34171718000000006</v>
      </c>
      <c r="D20" s="213">
        <f>-'Poupança 2028-2029'!D53</f>
        <v>-0.20637649999999996</v>
      </c>
      <c r="E20" s="213">
        <f>-'Poupança 2028-2029'!E53</f>
        <v>-0.20157857500000001</v>
      </c>
      <c r="F20" s="213">
        <f>-'Poupança 2028-2029'!F53</f>
        <v>-0.21906704399999999</v>
      </c>
      <c r="G20" s="213">
        <f>-'Poupança 2028-2029'!G53</f>
        <v>-0.17152363199999998</v>
      </c>
      <c r="H20" s="213">
        <f>-'Poupança 2028-2029'!H53</f>
        <v>-8.2554578400000009E-2</v>
      </c>
      <c r="I20" s="213">
        <f t="shared" ref="I20:I23" si="12">SUM(C20:H20)</f>
        <v>-1.2228175094</v>
      </c>
      <c r="J20" s="261">
        <f t="shared" si="7"/>
        <v>-0.54809368000000003</v>
      </c>
      <c r="K20" s="246">
        <f t="shared" si="8"/>
        <v>-0.59216925099999995</v>
      </c>
    </row>
    <row r="21" spans="1:11" x14ac:dyDescent="0.25">
      <c r="A21" s="243" t="s">
        <v>211</v>
      </c>
      <c r="B21" s="133" t="s">
        <v>13</v>
      </c>
      <c r="C21" s="213">
        <f>-'Poupança 2028-2029'!C58</f>
        <v>0</v>
      </c>
      <c r="D21" s="213">
        <f>-'Poupança 2028-2029'!D58</f>
        <v>2.5753503059857174E-3</v>
      </c>
      <c r="E21" s="213">
        <f>-'Poupança 2028-2029'!E58</f>
        <v>0</v>
      </c>
      <c r="F21" s="213">
        <f>-'Poupança 2028-2029'!F58</f>
        <v>0</v>
      </c>
      <c r="G21" s="213">
        <f>-'Poupança 2028-2029'!G58</f>
        <v>0</v>
      </c>
      <c r="H21" s="213">
        <f>-'Poupança 2028-2029'!H58</f>
        <v>0</v>
      </c>
      <c r="I21" s="213">
        <f t="shared" si="12"/>
        <v>2.5753503059857174E-3</v>
      </c>
      <c r="J21" s="261">
        <f t="shared" si="7"/>
        <v>2.5753503059857174E-3</v>
      </c>
      <c r="K21" s="246">
        <f t="shared" si="8"/>
        <v>0</v>
      </c>
    </row>
    <row r="22" spans="1:11" x14ac:dyDescent="0.25">
      <c r="A22" s="243" t="s">
        <v>212</v>
      </c>
      <c r="B22" s="133" t="s">
        <v>13</v>
      </c>
      <c r="C22" s="213">
        <f t="shared" ref="C22:H22" si="13">C19+C20+C21</f>
        <v>3.5504289671999978E-2</v>
      </c>
      <c r="D22" s="213">
        <f t="shared" si="13"/>
        <v>0.10518348646598574</v>
      </c>
      <c r="E22" s="213">
        <f t="shared" si="13"/>
        <v>0.27958244044000002</v>
      </c>
      <c r="F22" s="213">
        <f t="shared" si="13"/>
        <v>0.27072143280000011</v>
      </c>
      <c r="G22" s="213">
        <f t="shared" si="13"/>
        <v>0.16119484792799998</v>
      </c>
      <c r="H22" s="213">
        <f t="shared" si="13"/>
        <v>9.665763809599999E-2</v>
      </c>
      <c r="I22" s="213">
        <f t="shared" si="12"/>
        <v>0.94884413540198587</v>
      </c>
      <c r="J22" s="261">
        <f t="shared" si="7"/>
        <v>0.14068777613798572</v>
      </c>
      <c r="K22" s="246">
        <f t="shared" si="8"/>
        <v>0.71149872116800006</v>
      </c>
    </row>
    <row r="23" spans="1:11" x14ac:dyDescent="0.25">
      <c r="A23" s="243" t="s">
        <v>203</v>
      </c>
      <c r="B23" s="133" t="s">
        <v>13</v>
      </c>
      <c r="C23" s="213">
        <f t="shared" ref="C23:H23" si="14">(C3*C17)/1000-C22</f>
        <v>0.67720729938348079</v>
      </c>
      <c r="D23" s="213">
        <f t="shared" si="14"/>
        <v>0.39113343305380882</v>
      </c>
      <c r="E23" s="213">
        <f t="shared" si="14"/>
        <v>0.34431670173054829</v>
      </c>
      <c r="F23" s="213">
        <f t="shared" si="14"/>
        <v>0.39904849278848259</v>
      </c>
      <c r="G23" s="213">
        <f t="shared" si="14"/>
        <v>0.4341326009541665</v>
      </c>
      <c r="H23" s="213">
        <f t="shared" si="14"/>
        <v>0.24580138300607068</v>
      </c>
      <c r="I23" s="213">
        <f t="shared" si="12"/>
        <v>2.4916399109165575</v>
      </c>
      <c r="J23" s="261">
        <f t="shared" si="7"/>
        <v>1.0683407324372896</v>
      </c>
      <c r="K23" s="246">
        <f t="shared" si="8"/>
        <v>1.1774977954731973</v>
      </c>
    </row>
    <row r="24" spans="1:11" x14ac:dyDescent="0.25">
      <c r="A24" s="243" t="s">
        <v>204</v>
      </c>
      <c r="B24" s="133" t="s">
        <v>14</v>
      </c>
      <c r="C24" s="213">
        <f t="shared" ref="C24:K24" si="15">C23*1000000/(C$7*1000+C$18*1000)</f>
        <v>18.718254613090131</v>
      </c>
      <c r="D24" s="213">
        <f t="shared" si="15"/>
        <v>20.793131030811438</v>
      </c>
      <c r="E24" s="213">
        <f t="shared" si="15"/>
        <v>24.263327110338331</v>
      </c>
      <c r="F24" s="213">
        <f t="shared" si="15"/>
        <v>29.931953419575084</v>
      </c>
      <c r="G24" s="213">
        <f t="shared" si="15"/>
        <v>66.957424160744011</v>
      </c>
      <c r="H24" s="213">
        <f t="shared" si="15"/>
        <v>68.373976678783279</v>
      </c>
      <c r="I24" s="213">
        <f t="shared" si="15"/>
        <v>26.910164825084674</v>
      </c>
      <c r="J24" s="261">
        <f t="shared" si="15"/>
        <v>19.428022074230512</v>
      </c>
      <c r="K24" s="246">
        <f t="shared" si="15"/>
        <v>34.625775197519239</v>
      </c>
    </row>
    <row r="25" spans="1:11" x14ac:dyDescent="0.25">
      <c r="A25" s="249" t="s">
        <v>205</v>
      </c>
      <c r="B25" s="250" t="s">
        <v>14</v>
      </c>
      <c r="C25" s="251">
        <f t="shared" ref="C25:K25" si="16">C4-C24</f>
        <v>117.07174538690987</v>
      </c>
      <c r="D25" s="251">
        <f t="shared" si="16"/>
        <v>116.24686896918855</v>
      </c>
      <c r="E25" s="251">
        <f t="shared" si="16"/>
        <v>129.71667288966165</v>
      </c>
      <c r="F25" s="251">
        <f t="shared" si="16"/>
        <v>127.86804658042493</v>
      </c>
      <c r="G25" s="251">
        <f t="shared" si="16"/>
        <v>124.73257583925599</v>
      </c>
      <c r="H25" s="251">
        <f t="shared" si="16"/>
        <v>128.3560233212167</v>
      </c>
      <c r="I25" s="251">
        <f t="shared" si="16"/>
        <v>121.58983517491532</v>
      </c>
      <c r="J25" s="262">
        <f t="shared" si="16"/>
        <v>116.80197792576948</v>
      </c>
      <c r="K25" s="252">
        <f t="shared" si="16"/>
        <v>127.95422480248078</v>
      </c>
    </row>
    <row r="26" spans="1:11" x14ac:dyDescent="0.25">
      <c r="A26" s="96"/>
      <c r="B26" s="133"/>
      <c r="C26" s="138"/>
      <c r="D26" s="138"/>
      <c r="E26" s="138"/>
      <c r="F26" s="138"/>
      <c r="G26" s="138"/>
      <c r="H26" s="138"/>
      <c r="I26" s="138"/>
      <c r="J26" s="2"/>
      <c r="K26" s="2"/>
    </row>
    <row r="27" spans="1:11" x14ac:dyDescent="0.25">
      <c r="A27" s="241" t="s">
        <v>213</v>
      </c>
      <c r="B27" s="226"/>
      <c r="C27" s="226"/>
      <c r="D27" s="226"/>
      <c r="E27" s="226"/>
      <c r="F27" s="226"/>
      <c r="G27" s="226"/>
      <c r="H27" s="226"/>
      <c r="I27" s="226"/>
      <c r="J27" s="255"/>
      <c r="K27" s="256"/>
    </row>
    <row r="28" spans="1:11" x14ac:dyDescent="0.25">
      <c r="A28" s="96" t="s">
        <v>121</v>
      </c>
      <c r="B28" s="137" t="s">
        <v>38</v>
      </c>
      <c r="C28" s="138">
        <f>7.7/2</f>
        <v>3.85</v>
      </c>
      <c r="D28" s="138">
        <v>3.05</v>
      </c>
      <c r="E28" s="138">
        <f>3.376/2</f>
        <v>1.6879999999999999</v>
      </c>
      <c r="F28" s="138">
        <f>3.7*0.5</f>
        <v>1.85</v>
      </c>
      <c r="G28" s="138">
        <v>1.0129999999999999</v>
      </c>
      <c r="H28" s="138">
        <f>1.449/2</f>
        <v>0.72450000000000003</v>
      </c>
      <c r="I28" s="138"/>
      <c r="J28" s="33"/>
      <c r="K28" s="35"/>
    </row>
    <row r="29" spans="1:11" x14ac:dyDescent="0.25">
      <c r="A29" s="96" t="s">
        <v>122</v>
      </c>
      <c r="B29" s="137" t="s">
        <v>123</v>
      </c>
      <c r="C29" s="138">
        <v>4.1639999999999997</v>
      </c>
      <c r="D29" s="138">
        <v>6.17</v>
      </c>
      <c r="E29" s="138">
        <v>5</v>
      </c>
      <c r="F29" s="138">
        <v>5</v>
      </c>
      <c r="G29" s="138">
        <v>5</v>
      </c>
      <c r="H29" s="138">
        <v>4</v>
      </c>
      <c r="I29" s="138"/>
      <c r="J29" s="33"/>
      <c r="K29" s="35"/>
    </row>
    <row r="30" spans="1:11" x14ac:dyDescent="0.25">
      <c r="A30" s="96" t="s">
        <v>124</v>
      </c>
      <c r="B30" s="137"/>
      <c r="C30" s="202">
        <v>313</v>
      </c>
      <c r="D30" s="202">
        <v>313</v>
      </c>
      <c r="E30" s="202">
        <v>313</v>
      </c>
      <c r="F30" s="202">
        <v>313</v>
      </c>
      <c r="G30" s="202">
        <v>313</v>
      </c>
      <c r="H30" s="202">
        <v>313</v>
      </c>
      <c r="I30" s="138"/>
      <c r="J30" s="33"/>
      <c r="K30" s="35"/>
    </row>
    <row r="31" spans="1:11" x14ac:dyDescent="0.25">
      <c r="A31" s="243" t="s">
        <v>125</v>
      </c>
      <c r="B31" s="133" t="s">
        <v>9</v>
      </c>
      <c r="C31" s="213">
        <f t="shared" ref="C31:H31" si="17">C28*C29*C30/1000</f>
        <v>5.0178281999999994</v>
      </c>
      <c r="D31" s="213">
        <f t="shared" si="17"/>
        <v>5.8901905000000001</v>
      </c>
      <c r="E31" s="213">
        <f t="shared" si="17"/>
        <v>2.6417199999999998</v>
      </c>
      <c r="F31" s="213">
        <f t="shared" si="17"/>
        <v>2.8952499999999999</v>
      </c>
      <c r="G31" s="213">
        <f t="shared" si="17"/>
        <v>1.5853449999999998</v>
      </c>
      <c r="H31" s="213">
        <f t="shared" si="17"/>
        <v>0.90707400000000005</v>
      </c>
      <c r="I31" s="213">
        <f>SUM(C31:H31)</f>
        <v>18.937407700000001</v>
      </c>
      <c r="J31" s="261">
        <f t="shared" ref="J31:J36" si="18">C31+D31</f>
        <v>10.9080187</v>
      </c>
      <c r="K31" s="246">
        <f t="shared" ref="K31:K36" si="19">E31+F31+G31</f>
        <v>7.1223150000000004</v>
      </c>
    </row>
    <row r="32" spans="1:11" x14ac:dyDescent="0.25">
      <c r="A32" s="243" t="s">
        <v>209</v>
      </c>
      <c r="B32" s="133" t="s">
        <v>13</v>
      </c>
      <c r="C32" s="213">
        <v>0</v>
      </c>
      <c r="D32" s="213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f>SUM(C32:H32)</f>
        <v>0</v>
      </c>
      <c r="J32" s="261">
        <f t="shared" si="18"/>
        <v>0</v>
      </c>
      <c r="K32" s="246">
        <f t="shared" si="19"/>
        <v>0</v>
      </c>
    </row>
    <row r="33" spans="1:11" x14ac:dyDescent="0.25">
      <c r="A33" s="243" t="s">
        <v>214</v>
      </c>
      <c r="B33" s="133" t="s">
        <v>13</v>
      </c>
      <c r="C33" s="213">
        <v>0.25</v>
      </c>
      <c r="D33" s="213">
        <v>0.2</v>
      </c>
      <c r="E33" s="213">
        <v>0.15</v>
      </c>
      <c r="F33" s="213">
        <v>0.15</v>
      </c>
      <c r="G33" s="213">
        <v>0.1</v>
      </c>
      <c r="H33" s="213">
        <v>0.1</v>
      </c>
      <c r="I33" s="213">
        <f t="shared" ref="I33:I36" si="20">SUM(C33:H33)</f>
        <v>0.95</v>
      </c>
      <c r="J33" s="261">
        <f t="shared" si="18"/>
        <v>0.45</v>
      </c>
      <c r="K33" s="246">
        <f t="shared" si="19"/>
        <v>0.4</v>
      </c>
    </row>
    <row r="34" spans="1:11" x14ac:dyDescent="0.25">
      <c r="A34" s="243" t="s">
        <v>215</v>
      </c>
      <c r="B34" s="133" t="s">
        <v>13</v>
      </c>
      <c r="C34" s="213">
        <f>-'Poupança 2028-2029'!C82</f>
        <v>0.24380586995191256</v>
      </c>
      <c r="D34" s="213">
        <f>-'Poupança 2028-2029'!D82</f>
        <v>0.18861016120101481</v>
      </c>
      <c r="E34" s="213">
        <f>-'Poupança 2028-2029'!E82</f>
        <v>0</v>
      </c>
      <c r="F34" s="213">
        <f>-'Poupança 2028-2029'!F82</f>
        <v>0</v>
      </c>
      <c r="G34" s="213">
        <f>-'Poupança 2028-2029'!G82</f>
        <v>0</v>
      </c>
      <c r="H34" s="213">
        <f>-'Poupança 2028-2029'!H82</f>
        <v>0</v>
      </c>
      <c r="I34" s="213">
        <f t="shared" si="20"/>
        <v>0.43241603115292737</v>
      </c>
      <c r="J34" s="261">
        <f t="shared" si="18"/>
        <v>0.43241603115292737</v>
      </c>
      <c r="K34" s="246">
        <f t="shared" si="19"/>
        <v>0</v>
      </c>
    </row>
    <row r="35" spans="1:11" x14ac:dyDescent="0.25">
      <c r="A35" s="243" t="s">
        <v>212</v>
      </c>
      <c r="B35" s="133" t="s">
        <v>13</v>
      </c>
      <c r="C35" s="213">
        <f t="shared" ref="C35:H35" si="21">C32+C33+C34</f>
        <v>0.49380586995191256</v>
      </c>
      <c r="D35" s="213">
        <f t="shared" si="21"/>
        <v>0.38861016120101483</v>
      </c>
      <c r="E35" s="213">
        <f t="shared" si="21"/>
        <v>0.15</v>
      </c>
      <c r="F35" s="213">
        <f t="shared" si="21"/>
        <v>0.15</v>
      </c>
      <c r="G35" s="213">
        <f t="shared" si="21"/>
        <v>0.1</v>
      </c>
      <c r="H35" s="213">
        <f t="shared" si="21"/>
        <v>0.1</v>
      </c>
      <c r="I35" s="213">
        <f t="shared" si="20"/>
        <v>1.3824160311529274</v>
      </c>
      <c r="J35" s="261">
        <f t="shared" si="18"/>
        <v>0.88241603115292744</v>
      </c>
      <c r="K35" s="246">
        <f t="shared" si="19"/>
        <v>0.4</v>
      </c>
    </row>
    <row r="36" spans="1:11" x14ac:dyDescent="0.25">
      <c r="A36" s="243" t="s">
        <v>203</v>
      </c>
      <c r="B36" s="133" t="s">
        <v>13</v>
      </c>
      <c r="C36" s="213">
        <f t="shared" ref="C36:H36" si="22">(C3*C31)/1000-C35</f>
        <v>0.34453623649639831</v>
      </c>
      <c r="D36" s="213">
        <f t="shared" si="22"/>
        <v>0.65653502427240906</v>
      </c>
      <c r="E36" s="213">
        <f t="shared" si="22"/>
        <v>0.3850148808202235</v>
      </c>
      <c r="F36" s="213">
        <f t="shared" si="22"/>
        <v>0.42435064851834259</v>
      </c>
      <c r="G36" s="213">
        <f t="shared" si="22"/>
        <v>0.41051367534278926</v>
      </c>
      <c r="H36" s="213">
        <f t="shared" si="22"/>
        <v>0.19367033864369351</v>
      </c>
      <c r="I36" s="213">
        <f t="shared" si="20"/>
        <v>2.4146208040938562</v>
      </c>
      <c r="J36" s="261">
        <f t="shared" si="18"/>
        <v>1.0010712607688075</v>
      </c>
      <c r="K36" s="246">
        <f t="shared" si="19"/>
        <v>1.2198792046813554</v>
      </c>
    </row>
    <row r="37" spans="1:11" x14ac:dyDescent="0.25">
      <c r="A37" s="243" t="s">
        <v>204</v>
      </c>
      <c r="B37" s="133" t="s">
        <v>14</v>
      </c>
      <c r="C37" s="213">
        <f>C36*1000000/((C$7+C18)*1000)</f>
        <v>9.5231061508737387</v>
      </c>
      <c r="D37" s="213">
        <f t="shared" ref="D37:I37" si="23">D36*1000000/((D$7+D18)*1000)</f>
        <v>34.902203781017924</v>
      </c>
      <c r="E37" s="213">
        <f t="shared" si="23"/>
        <v>27.131248495170503</v>
      </c>
      <c r="F37" s="213">
        <f t="shared" si="23"/>
        <v>31.829825383528188</v>
      </c>
      <c r="G37" s="213">
        <f t="shared" si="23"/>
        <v>63.314614528603506</v>
      </c>
      <c r="H37" s="213">
        <f t="shared" si="23"/>
        <v>53.872810054404432</v>
      </c>
      <c r="I37" s="213">
        <f t="shared" si="23"/>
        <v>26.078344444379152</v>
      </c>
      <c r="J37" s="261">
        <f t="shared" ref="J37" si="24">J36*1000000/(J$7*1000)</f>
        <v>20.038658461653174</v>
      </c>
      <c r="K37" s="246">
        <f t="shared" ref="K37" si="25">K36*1000000/(K$7*1000)</f>
        <v>46.842761872412076</v>
      </c>
    </row>
    <row r="38" spans="1:11" x14ac:dyDescent="0.25">
      <c r="A38" s="249" t="s">
        <v>205</v>
      </c>
      <c r="B38" s="250" t="s">
        <v>14</v>
      </c>
      <c r="C38" s="251">
        <f t="shared" ref="C38:K38" si="26">C25-C37</f>
        <v>107.54863923603612</v>
      </c>
      <c r="D38" s="251">
        <f t="shared" si="26"/>
        <v>81.344665188170637</v>
      </c>
      <c r="E38" s="251">
        <f t="shared" si="26"/>
        <v>102.58542439449116</v>
      </c>
      <c r="F38" s="251">
        <f t="shared" si="26"/>
        <v>96.038221196896743</v>
      </c>
      <c r="G38" s="251">
        <f t="shared" si="26"/>
        <v>61.41796131065248</v>
      </c>
      <c r="H38" s="251">
        <f t="shared" si="26"/>
        <v>74.483213266812271</v>
      </c>
      <c r="I38" s="251">
        <f t="shared" si="26"/>
        <v>95.511490730536167</v>
      </c>
      <c r="J38" s="262">
        <f t="shared" si="26"/>
        <v>96.763319464116307</v>
      </c>
      <c r="K38" s="252">
        <f t="shared" si="26"/>
        <v>81.111462930068711</v>
      </c>
    </row>
    <row r="39" spans="1:11" x14ac:dyDescent="0.25">
      <c r="A39" s="266"/>
      <c r="B39" s="226"/>
      <c r="C39" s="226"/>
      <c r="D39" s="226"/>
      <c r="E39" s="226"/>
      <c r="F39" s="226"/>
      <c r="G39" s="226"/>
      <c r="H39" s="226"/>
      <c r="I39" s="242"/>
      <c r="J39" s="2"/>
      <c r="K39" s="2"/>
    </row>
    <row r="40" spans="1:11" x14ac:dyDescent="0.25">
      <c r="A40" s="283" t="s">
        <v>216</v>
      </c>
      <c r="B40" s="284"/>
      <c r="C40" s="284"/>
      <c r="D40" s="284"/>
      <c r="E40" s="284"/>
      <c r="F40" s="284"/>
      <c r="G40" s="284"/>
      <c r="H40" s="284"/>
      <c r="I40" s="285"/>
      <c r="J40" s="6"/>
      <c r="K40" s="6"/>
    </row>
    <row r="41" spans="1:11" x14ac:dyDescent="0.25">
      <c r="A41" s="282"/>
      <c r="B41" s="133"/>
      <c r="C41" s="133"/>
      <c r="D41" s="133"/>
      <c r="E41" s="133"/>
      <c r="F41" s="133"/>
      <c r="G41" s="133"/>
      <c r="H41" s="133"/>
      <c r="I41" s="273"/>
      <c r="J41" s="2"/>
      <c r="K41" s="2"/>
    </row>
    <row r="42" spans="1:11" x14ac:dyDescent="0.25">
      <c r="A42" s="155" t="s">
        <v>217</v>
      </c>
      <c r="B42" s="94"/>
      <c r="C42" s="94"/>
      <c r="D42" s="94"/>
      <c r="E42" s="94"/>
      <c r="F42" s="94"/>
      <c r="G42" s="94"/>
      <c r="H42" s="94"/>
      <c r="I42" s="267"/>
      <c r="J42" s="2"/>
      <c r="K42" s="2"/>
    </row>
    <row r="43" spans="1:11" x14ac:dyDescent="0.25">
      <c r="A43" s="263" t="s">
        <v>17</v>
      </c>
      <c r="B43" s="199" t="s">
        <v>9</v>
      </c>
      <c r="C43" s="213">
        <f>C7</f>
        <v>33.400999999999996</v>
      </c>
      <c r="D43" s="213">
        <f t="shared" ref="D43:H43" si="27">D7</f>
        <v>16.556000000000001</v>
      </c>
      <c r="E43" s="213">
        <f t="shared" si="27"/>
        <v>11.066000000000001</v>
      </c>
      <c r="F43" s="213">
        <f t="shared" si="27"/>
        <v>10.228</v>
      </c>
      <c r="G43" s="213">
        <f t="shared" si="27"/>
        <v>4.7480000000000002</v>
      </c>
      <c r="H43" s="213">
        <f t="shared" si="27"/>
        <v>2.6840000000000002</v>
      </c>
      <c r="I43" s="246">
        <f>SUM(C43:H43)</f>
        <v>78.682999999999993</v>
      </c>
      <c r="J43" s="2"/>
      <c r="K43" s="2"/>
    </row>
    <row r="44" spans="1:11" x14ac:dyDescent="0.25">
      <c r="A44" s="263" t="s">
        <v>162</v>
      </c>
      <c r="B44" s="199" t="s">
        <v>9</v>
      </c>
      <c r="C44" s="213">
        <f>C17</f>
        <v>4.2658770000000006</v>
      </c>
      <c r="D44" s="213">
        <f t="shared" ref="D44:H44" si="28">D17</f>
        <v>2.7971245000000002</v>
      </c>
      <c r="E44" s="213">
        <f t="shared" si="28"/>
        <v>3.0806</v>
      </c>
      <c r="F44" s="213">
        <f t="shared" si="28"/>
        <v>3.3762500000000002</v>
      </c>
      <c r="G44" s="213">
        <f t="shared" si="28"/>
        <v>1.848725</v>
      </c>
      <c r="H44" s="213">
        <f t="shared" si="28"/>
        <v>1.0577699999999999</v>
      </c>
      <c r="I44" s="246">
        <f>SUM(C44:H44)</f>
        <v>16.426346500000001</v>
      </c>
      <c r="J44" s="2"/>
      <c r="K44" s="2"/>
    </row>
    <row r="45" spans="1:11" x14ac:dyDescent="0.25">
      <c r="A45" s="263" t="s">
        <v>163</v>
      </c>
      <c r="B45" s="199" t="s">
        <v>9</v>
      </c>
      <c r="C45" s="213">
        <f>C31</f>
        <v>5.0178281999999994</v>
      </c>
      <c r="D45" s="213">
        <f t="shared" ref="D45:H45" si="29">D31</f>
        <v>5.8901905000000001</v>
      </c>
      <c r="E45" s="213">
        <f t="shared" si="29"/>
        <v>2.6417199999999998</v>
      </c>
      <c r="F45" s="213">
        <f t="shared" si="29"/>
        <v>2.8952499999999999</v>
      </c>
      <c r="G45" s="213">
        <f t="shared" si="29"/>
        <v>1.5853449999999998</v>
      </c>
      <c r="H45" s="213">
        <f t="shared" si="29"/>
        <v>0.90707400000000005</v>
      </c>
      <c r="I45" s="246">
        <f>SUM(C45:H45)</f>
        <v>18.937407700000001</v>
      </c>
      <c r="J45" s="2"/>
      <c r="K45" s="2"/>
    </row>
    <row r="46" spans="1:11" x14ac:dyDescent="0.25">
      <c r="A46" s="155" t="s">
        <v>218</v>
      </c>
      <c r="B46" s="199" t="s">
        <v>9</v>
      </c>
      <c r="C46" s="153">
        <f t="shared" ref="C46:I46" si="30">SUM(C43:C45)</f>
        <v>42.684705199999996</v>
      </c>
      <c r="D46" s="153">
        <f t="shared" si="30"/>
        <v>25.243314999999999</v>
      </c>
      <c r="E46" s="153">
        <f t="shared" si="30"/>
        <v>16.788320000000002</v>
      </c>
      <c r="F46" s="153">
        <f t="shared" si="30"/>
        <v>16.499500000000001</v>
      </c>
      <c r="G46" s="153">
        <f t="shared" si="30"/>
        <v>8.1820699999999995</v>
      </c>
      <c r="H46" s="153">
        <f t="shared" si="30"/>
        <v>4.6488439999999995</v>
      </c>
      <c r="I46" s="152">
        <f t="shared" si="30"/>
        <v>114.04675419999998</v>
      </c>
      <c r="J46" s="2"/>
      <c r="K46" s="2"/>
    </row>
    <row r="47" spans="1:11" x14ac:dyDescent="0.25">
      <c r="A47" s="243"/>
      <c r="B47" s="133"/>
      <c r="C47" s="133"/>
      <c r="D47" s="133"/>
      <c r="E47" s="133"/>
      <c r="F47" s="133"/>
      <c r="G47" s="133"/>
      <c r="H47" s="133"/>
      <c r="I47" s="273"/>
      <c r="J47" s="2"/>
      <c r="K47" s="2"/>
    </row>
    <row r="48" spans="1:11" x14ac:dyDescent="0.25">
      <c r="A48" s="155" t="s">
        <v>219</v>
      </c>
      <c r="B48" s="94"/>
      <c r="C48" s="94"/>
      <c r="D48" s="94"/>
      <c r="E48" s="94"/>
      <c r="F48" s="94"/>
      <c r="G48" s="94"/>
      <c r="H48" s="94"/>
      <c r="I48" s="267"/>
      <c r="J48" s="2"/>
      <c r="K48" s="2"/>
    </row>
    <row r="49" spans="1:12" x14ac:dyDescent="0.25">
      <c r="A49" s="263" t="s">
        <v>17</v>
      </c>
      <c r="B49" s="199" t="s">
        <v>220</v>
      </c>
      <c r="C49" s="213">
        <f>C9</f>
        <v>1.0448734689449033</v>
      </c>
      <c r="D49" s="213">
        <f t="shared" ref="D49:H49" si="31">D9</f>
        <v>0.66883368274341692</v>
      </c>
      <c r="E49" s="213">
        <f t="shared" si="31"/>
        <v>0.53720122289530869</v>
      </c>
      <c r="F49" s="213">
        <f t="shared" si="31"/>
        <v>0.41502028164946309</v>
      </c>
      <c r="G49" s="213">
        <f t="shared" si="31"/>
        <v>0.61880947087615867</v>
      </c>
      <c r="H49" s="213">
        <f t="shared" si="31"/>
        <v>0.34093686287336356</v>
      </c>
      <c r="I49" s="246">
        <f>SUM(C49:H49)</f>
        <v>3.6256749899826142</v>
      </c>
      <c r="J49" s="2"/>
      <c r="K49" s="2"/>
    </row>
    <row r="50" spans="1:12" x14ac:dyDescent="0.25">
      <c r="A50" s="263" t="s">
        <v>162</v>
      </c>
      <c r="B50" s="199" t="s">
        <v>220</v>
      </c>
      <c r="C50" s="213">
        <f>C23</f>
        <v>0.67720729938348079</v>
      </c>
      <c r="D50" s="213">
        <f t="shared" ref="D50:H50" si="32">D23</f>
        <v>0.39113343305380882</v>
      </c>
      <c r="E50" s="213">
        <f t="shared" si="32"/>
        <v>0.34431670173054829</v>
      </c>
      <c r="F50" s="213">
        <f t="shared" si="32"/>
        <v>0.39904849278848259</v>
      </c>
      <c r="G50" s="213">
        <f t="shared" si="32"/>
        <v>0.4341326009541665</v>
      </c>
      <c r="H50" s="213">
        <f t="shared" si="32"/>
        <v>0.24580138300607068</v>
      </c>
      <c r="I50" s="246">
        <f>SUM(C50:H50)</f>
        <v>2.4916399109165575</v>
      </c>
      <c r="J50" s="2"/>
      <c r="K50" s="2"/>
    </row>
    <row r="51" spans="1:12" x14ac:dyDescent="0.25">
      <c r="A51" s="263" t="s">
        <v>163</v>
      </c>
      <c r="B51" s="199" t="s">
        <v>220</v>
      </c>
      <c r="C51" s="213">
        <f>C36</f>
        <v>0.34453623649639831</v>
      </c>
      <c r="D51" s="213">
        <f t="shared" ref="D51:H51" si="33">D36</f>
        <v>0.65653502427240906</v>
      </c>
      <c r="E51" s="213">
        <f t="shared" si="33"/>
        <v>0.3850148808202235</v>
      </c>
      <c r="F51" s="213">
        <f t="shared" si="33"/>
        <v>0.42435064851834259</v>
      </c>
      <c r="G51" s="213">
        <f t="shared" si="33"/>
        <v>0.41051367534278926</v>
      </c>
      <c r="H51" s="213">
        <f t="shared" si="33"/>
        <v>0.19367033864369351</v>
      </c>
      <c r="I51" s="246">
        <f>SUM(C51:H51)</f>
        <v>2.4146208040938562</v>
      </c>
      <c r="J51" s="2"/>
      <c r="K51" s="2"/>
    </row>
    <row r="52" spans="1:12" x14ac:dyDescent="0.25">
      <c r="A52" s="155" t="s">
        <v>221</v>
      </c>
      <c r="B52" s="199" t="s">
        <v>220</v>
      </c>
      <c r="C52" s="153">
        <f t="shared" ref="C52:I52" si="34">SUM(C49:C51)</f>
        <v>2.0666170048247823</v>
      </c>
      <c r="D52" s="153">
        <f t="shared" si="34"/>
        <v>1.7165021400696348</v>
      </c>
      <c r="E52" s="153">
        <f t="shared" si="34"/>
        <v>1.2665328054460805</v>
      </c>
      <c r="F52" s="153">
        <f t="shared" si="34"/>
        <v>1.2384194229562882</v>
      </c>
      <c r="G52" s="153">
        <f t="shared" si="34"/>
        <v>1.4634557471731142</v>
      </c>
      <c r="H52" s="153">
        <f t="shared" si="34"/>
        <v>0.78040858452312778</v>
      </c>
      <c r="I52" s="152">
        <f t="shared" si="34"/>
        <v>8.5319357049930282</v>
      </c>
      <c r="J52" s="2"/>
      <c r="K52" s="2"/>
      <c r="L52" s="30"/>
    </row>
    <row r="53" spans="1:12" x14ac:dyDescent="0.25">
      <c r="A53" s="243"/>
      <c r="B53" s="133"/>
      <c r="C53" s="133"/>
      <c r="D53" s="133"/>
      <c r="E53" s="133"/>
      <c r="F53" s="133"/>
      <c r="G53" s="133"/>
      <c r="H53" s="133"/>
      <c r="I53" s="273"/>
      <c r="J53" s="2"/>
      <c r="K53" s="2"/>
    </row>
    <row r="54" spans="1:12" x14ac:dyDescent="0.25">
      <c r="A54" s="155" t="s">
        <v>222</v>
      </c>
      <c r="B54" s="94"/>
      <c r="C54" s="94"/>
      <c r="D54" s="94"/>
      <c r="E54" s="94"/>
      <c r="F54" s="94"/>
      <c r="G54" s="94"/>
      <c r="H54" s="94"/>
      <c r="I54" s="267"/>
      <c r="J54" s="2"/>
      <c r="K54" s="2"/>
    </row>
    <row r="55" spans="1:12" x14ac:dyDescent="0.25">
      <c r="A55" s="263" t="s">
        <v>17</v>
      </c>
      <c r="B55" s="133" t="s">
        <v>223</v>
      </c>
      <c r="C55" s="265">
        <f>675*C43</f>
        <v>22545.674999999999</v>
      </c>
      <c r="D55" s="265">
        <f t="shared" ref="D55:H55" si="35">675*D43</f>
        <v>11175.300000000001</v>
      </c>
      <c r="E55" s="265">
        <f t="shared" si="35"/>
        <v>7469.55</v>
      </c>
      <c r="F55" s="265">
        <f t="shared" si="35"/>
        <v>6903.9</v>
      </c>
      <c r="G55" s="265">
        <f t="shared" si="35"/>
        <v>3204.9</v>
      </c>
      <c r="H55" s="265">
        <f t="shared" si="35"/>
        <v>1811.7</v>
      </c>
      <c r="I55" s="268">
        <f>SUM(C55:H55)</f>
        <v>53111.025000000001</v>
      </c>
      <c r="J55" s="2"/>
      <c r="K55" s="2"/>
    </row>
    <row r="56" spans="1:12" x14ac:dyDescent="0.25">
      <c r="A56" s="263" t="s">
        <v>224</v>
      </c>
      <c r="B56" s="133" t="s">
        <v>223</v>
      </c>
      <c r="C56" s="265">
        <f t="shared" ref="C56:H56" si="36">675*C44</f>
        <v>2879.4669750000003</v>
      </c>
      <c r="D56" s="265">
        <f t="shared" si="36"/>
        <v>1888.0590375000002</v>
      </c>
      <c r="E56" s="265">
        <f t="shared" si="36"/>
        <v>2079.4050000000002</v>
      </c>
      <c r="F56" s="265">
        <f t="shared" si="36"/>
        <v>2278.96875</v>
      </c>
      <c r="G56" s="265">
        <f t="shared" si="36"/>
        <v>1247.889375</v>
      </c>
      <c r="H56" s="265">
        <f t="shared" si="36"/>
        <v>713.99474999999995</v>
      </c>
      <c r="I56" s="268">
        <f>SUM(C56:H56)</f>
        <v>11087.783887500002</v>
      </c>
      <c r="J56" s="2"/>
      <c r="K56" s="2"/>
    </row>
    <row r="57" spans="1:12" x14ac:dyDescent="0.25">
      <c r="A57" s="263" t="s">
        <v>225</v>
      </c>
      <c r="B57" s="133" t="s">
        <v>223</v>
      </c>
      <c r="C57" s="265">
        <f t="shared" ref="C57:H57" si="37">675*C45</f>
        <v>3387.0340349999997</v>
      </c>
      <c r="D57" s="265">
        <f t="shared" si="37"/>
        <v>3975.8785874999999</v>
      </c>
      <c r="E57" s="265">
        <f t="shared" si="37"/>
        <v>1783.1609999999998</v>
      </c>
      <c r="F57" s="265">
        <f t="shared" si="37"/>
        <v>1954.2937499999998</v>
      </c>
      <c r="G57" s="265">
        <f t="shared" si="37"/>
        <v>1070.1078749999999</v>
      </c>
      <c r="H57" s="265">
        <f t="shared" si="37"/>
        <v>612.27494999999999</v>
      </c>
      <c r="I57" s="268">
        <f>SUM(C57:H57)</f>
        <v>12782.750197500001</v>
      </c>
      <c r="J57" s="2"/>
      <c r="K57" s="2"/>
    </row>
    <row r="58" spans="1:12" x14ac:dyDescent="0.25">
      <c r="A58" s="155" t="s">
        <v>226</v>
      </c>
      <c r="B58" s="133" t="s">
        <v>223</v>
      </c>
      <c r="C58" s="264">
        <f t="shared" ref="C58:I58" si="38">SUM(C55:C57)</f>
        <v>28812.176009999999</v>
      </c>
      <c r="D58" s="264">
        <f t="shared" si="38"/>
        <v>17039.237625000002</v>
      </c>
      <c r="E58" s="264">
        <f t="shared" si="38"/>
        <v>11332.116</v>
      </c>
      <c r="F58" s="264">
        <f t="shared" si="38"/>
        <v>11137.162499999999</v>
      </c>
      <c r="G58" s="264">
        <f t="shared" si="38"/>
        <v>5522.89725</v>
      </c>
      <c r="H58" s="264">
        <f t="shared" si="38"/>
        <v>3137.9697000000001</v>
      </c>
      <c r="I58" s="269">
        <f t="shared" si="38"/>
        <v>76981.559085000001</v>
      </c>
      <c r="J58" s="2"/>
      <c r="K58" s="2"/>
    </row>
    <row r="59" spans="1:12" x14ac:dyDescent="0.25">
      <c r="A59" s="155"/>
      <c r="B59" s="133"/>
      <c r="C59" s="264"/>
      <c r="D59" s="264"/>
      <c r="E59" s="264"/>
      <c r="F59" s="264"/>
      <c r="G59" s="264"/>
      <c r="H59" s="264"/>
      <c r="I59" s="269"/>
      <c r="J59" s="2"/>
      <c r="K59" s="2"/>
    </row>
    <row r="60" spans="1:12" x14ac:dyDescent="0.25">
      <c r="A60" s="155" t="s">
        <v>227</v>
      </c>
      <c r="B60" s="133"/>
      <c r="C60" s="264"/>
      <c r="D60" s="264"/>
      <c r="E60" s="264"/>
      <c r="F60" s="264"/>
      <c r="G60" s="264"/>
      <c r="H60" s="264"/>
      <c r="I60" s="269"/>
      <c r="J60" s="2"/>
      <c r="K60" s="2"/>
    </row>
    <row r="61" spans="1:12" x14ac:dyDescent="0.25">
      <c r="A61" s="150" t="s">
        <v>17</v>
      </c>
      <c r="B61" s="270" t="s">
        <v>13</v>
      </c>
      <c r="C61" s="151">
        <f>'Custos de CO2'!$J$20*C43/1000</f>
        <v>1.4716790561280002</v>
      </c>
      <c r="D61" s="151">
        <f>'Custos de CO2'!$J$20*D43/1000</f>
        <v>0.72947272396800023</v>
      </c>
      <c r="E61" s="151">
        <f>'Custos de CO2'!$J$20*E43/1000</f>
        <v>0.48757822924800015</v>
      </c>
      <c r="F61" s="151">
        <f>'Custos de CO2'!$J$20*F43/1000</f>
        <v>0.45065517158400015</v>
      </c>
      <c r="G61" s="151">
        <f>'Custos de CO2'!$J$20*G43/1000</f>
        <v>0.20920128614400005</v>
      </c>
      <c r="H61" s="151">
        <f>'Custos de CO2'!$J$20*H43/1000</f>
        <v>0.11825953075200003</v>
      </c>
      <c r="I61" s="271">
        <f>SUM(C61:H61)</f>
        <v>3.4668459978240014</v>
      </c>
      <c r="J61" s="2"/>
      <c r="K61" s="2"/>
    </row>
    <row r="62" spans="1:12" x14ac:dyDescent="0.25">
      <c r="A62" s="150" t="s">
        <v>162</v>
      </c>
      <c r="B62" s="270" t="s">
        <v>13</v>
      </c>
      <c r="C62" s="151">
        <f>'Custos de CO2'!$J$20*C44/1000</f>
        <v>0.18795849935385606</v>
      </c>
      <c r="D62" s="151">
        <f>'Custos de CO2'!$J$20*D44/1000</f>
        <v>0.12324390120153604</v>
      </c>
      <c r="E62" s="151">
        <f>'Custos de CO2'!$J$20*E44/1000</f>
        <v>0.13573409479680004</v>
      </c>
      <c r="F62" s="151">
        <f>'Custos de CO2'!$J$20*F44/1000</f>
        <v>0.14876070816000003</v>
      </c>
      <c r="G62" s="151">
        <f>'Custos de CO2'!$J$20*G44/1000</f>
        <v>8.1456539116800022E-2</v>
      </c>
      <c r="H62" s="151">
        <f>'Custos de CO2'!$J$20*H44/1000</f>
        <v>4.6606327810560004E-2</v>
      </c>
      <c r="I62" s="271">
        <f>SUM(C62:H62)</f>
        <v>0.72376007043955215</v>
      </c>
      <c r="J62" s="2"/>
      <c r="K62" s="2"/>
    </row>
    <row r="63" spans="1:12" x14ac:dyDescent="0.25">
      <c r="A63" s="150" t="s">
        <v>163</v>
      </c>
      <c r="B63" s="270" t="s">
        <v>13</v>
      </c>
      <c r="C63" s="151">
        <f>'Custos de CO2'!$J$20*C45/1000</f>
        <v>0.22109016703656961</v>
      </c>
      <c r="D63" s="151">
        <f>'Custos de CO2'!$J$20*D45/1000</f>
        <v>0.25952725952678407</v>
      </c>
      <c r="E63" s="151">
        <f>'Custos de CO2'!$J$20*E45/1000</f>
        <v>0.11639663471616002</v>
      </c>
      <c r="F63" s="151">
        <f>'Custos de CO2'!$J$20*F45/1000</f>
        <v>0.12756740179200002</v>
      </c>
      <c r="G63" s="151">
        <f>'Custos de CO2'!$J$20*G45/1000</f>
        <v>6.9851771900160009E-2</v>
      </c>
      <c r="H63" s="151">
        <f>'Custos de CO2'!$J$20*H45/1000</f>
        <v>3.9966522204672013E-2</v>
      </c>
      <c r="I63" s="271">
        <f>SUM(C63:H63)</f>
        <v>0.83439975717634574</v>
      </c>
      <c r="J63" s="2"/>
      <c r="K63" s="2"/>
    </row>
    <row r="64" spans="1:12" x14ac:dyDescent="0.25">
      <c r="A64" s="155" t="s">
        <v>228</v>
      </c>
      <c r="B64" s="270" t="s">
        <v>13</v>
      </c>
      <c r="C64" s="178">
        <f t="shared" ref="C64:I64" si="39">SUM(C61:C63)</f>
        <v>1.880727722518426</v>
      </c>
      <c r="D64" s="178">
        <f t="shared" si="39"/>
        <v>1.1122438846963203</v>
      </c>
      <c r="E64" s="178">
        <f t="shared" si="39"/>
        <v>0.73970895876096021</v>
      </c>
      <c r="F64" s="178">
        <f t="shared" si="39"/>
        <v>0.72698328153600011</v>
      </c>
      <c r="G64" s="178">
        <f t="shared" si="39"/>
        <v>0.36050959716096009</v>
      </c>
      <c r="H64" s="178">
        <f t="shared" si="39"/>
        <v>0.20483238076723204</v>
      </c>
      <c r="I64" s="154">
        <f t="shared" si="39"/>
        <v>5.0250058254398997</v>
      </c>
      <c r="J64" s="2"/>
      <c r="K64" s="2"/>
    </row>
    <row r="65" spans="1:11" x14ac:dyDescent="0.25">
      <c r="A65" s="272"/>
      <c r="B65" s="133"/>
      <c r="C65" s="264"/>
      <c r="D65" s="264"/>
      <c r="E65" s="264"/>
      <c r="F65" s="264"/>
      <c r="G65" s="264"/>
      <c r="H65" s="264"/>
      <c r="I65" s="269"/>
      <c r="J65" s="2"/>
      <c r="K65" s="2"/>
    </row>
    <row r="66" spans="1:11" x14ac:dyDescent="0.25">
      <c r="A66" s="155" t="s">
        <v>229</v>
      </c>
      <c r="B66" s="133"/>
      <c r="C66" s="133"/>
      <c r="D66" s="133"/>
      <c r="E66" s="133"/>
      <c r="F66" s="133"/>
      <c r="G66" s="133"/>
      <c r="H66" s="133"/>
      <c r="I66" s="273"/>
      <c r="J66" s="2"/>
      <c r="K66" s="2"/>
    </row>
    <row r="67" spans="1:11" x14ac:dyDescent="0.25">
      <c r="A67" s="150" t="s">
        <v>17</v>
      </c>
      <c r="B67" s="133" t="s">
        <v>223</v>
      </c>
      <c r="C67" s="265">
        <f>0.20468*C43*1000</f>
        <v>6836.5166799999988</v>
      </c>
      <c r="D67" s="265">
        <f t="shared" ref="D67:F67" si="40">0.20468*D43*1000</f>
        <v>3388.68208</v>
      </c>
      <c r="E67" s="265">
        <f t="shared" si="40"/>
        <v>2264.9888800000003</v>
      </c>
      <c r="F67" s="265">
        <f t="shared" si="40"/>
        <v>2093.46704</v>
      </c>
      <c r="G67" s="265">
        <v>0</v>
      </c>
      <c r="H67" s="265">
        <v>0</v>
      </c>
      <c r="I67" s="268">
        <f>SUM(C67:H67)</f>
        <v>14583.65468</v>
      </c>
      <c r="J67" s="2"/>
      <c r="K67" s="2"/>
    </row>
    <row r="68" spans="1:11" x14ac:dyDescent="0.25">
      <c r="A68" s="150" t="s">
        <v>162</v>
      </c>
      <c r="B68" s="133" t="s">
        <v>223</v>
      </c>
      <c r="C68" s="265">
        <f t="shared" ref="C68:F68" si="41">0.20468*C44*1000</f>
        <v>873.13970436000011</v>
      </c>
      <c r="D68" s="265">
        <f t="shared" si="41"/>
        <v>572.51544266000008</v>
      </c>
      <c r="E68" s="265">
        <f t="shared" si="41"/>
        <v>630.53720799999996</v>
      </c>
      <c r="F68" s="265">
        <f t="shared" si="41"/>
        <v>691.05084999999997</v>
      </c>
      <c r="G68" s="265">
        <v>0</v>
      </c>
      <c r="H68" s="265">
        <v>0</v>
      </c>
      <c r="I68" s="268">
        <f>SUM(C68:H68)</f>
        <v>2767.24320502</v>
      </c>
      <c r="J68" s="2"/>
      <c r="K68" s="2"/>
    </row>
    <row r="69" spans="1:11" x14ac:dyDescent="0.25">
      <c r="A69" s="150" t="s">
        <v>163</v>
      </c>
      <c r="B69" s="133" t="s">
        <v>223</v>
      </c>
      <c r="C69" s="265">
        <f t="shared" ref="C69:F69" si="42">0.20468*C45*1000</f>
        <v>1027.0490759759998</v>
      </c>
      <c r="D69" s="265">
        <f t="shared" si="42"/>
        <v>1205.6041915399999</v>
      </c>
      <c r="E69" s="265">
        <f t="shared" si="42"/>
        <v>540.70724959999995</v>
      </c>
      <c r="F69" s="265">
        <f t="shared" si="42"/>
        <v>592.59976999999992</v>
      </c>
      <c r="G69" s="265">
        <v>0</v>
      </c>
      <c r="H69" s="265">
        <v>0</v>
      </c>
      <c r="I69" s="268">
        <f>SUM(C69:H69)</f>
        <v>3365.9602871159996</v>
      </c>
      <c r="J69" s="2"/>
      <c r="K69" s="2"/>
    </row>
    <row r="70" spans="1:11" x14ac:dyDescent="0.25">
      <c r="A70" s="155" t="s">
        <v>230</v>
      </c>
      <c r="B70" s="133" t="s">
        <v>223</v>
      </c>
      <c r="C70" s="264">
        <f t="shared" ref="C70:I70" si="43">SUM(C67:C69)</f>
        <v>8736.7054603359993</v>
      </c>
      <c r="D70" s="264">
        <f t="shared" si="43"/>
        <v>5166.8017141999999</v>
      </c>
      <c r="E70" s="264">
        <f t="shared" si="43"/>
        <v>3436.2333376000006</v>
      </c>
      <c r="F70" s="264">
        <f t="shared" si="43"/>
        <v>3377.1176599999999</v>
      </c>
      <c r="G70" s="264">
        <f t="shared" si="43"/>
        <v>0</v>
      </c>
      <c r="H70" s="264">
        <f t="shared" si="43"/>
        <v>0</v>
      </c>
      <c r="I70" s="269">
        <f t="shared" si="43"/>
        <v>20716.858172135999</v>
      </c>
      <c r="J70" s="2"/>
      <c r="K70" s="2"/>
    </row>
    <row r="71" spans="1:11" x14ac:dyDescent="0.25">
      <c r="A71" s="272"/>
      <c r="B71" s="133"/>
      <c r="C71" s="264"/>
      <c r="D71" s="264"/>
      <c r="E71" s="264"/>
      <c r="F71" s="264"/>
      <c r="G71" s="264"/>
      <c r="H71" s="264"/>
      <c r="I71" s="269"/>
      <c r="J71" s="2"/>
      <c r="K71" s="2"/>
    </row>
    <row r="72" spans="1:11" x14ac:dyDescent="0.25">
      <c r="A72" s="155" t="s">
        <v>229</v>
      </c>
      <c r="B72" s="133"/>
      <c r="C72" s="264"/>
      <c r="D72" s="264"/>
      <c r="E72" s="264"/>
      <c r="F72" s="264"/>
      <c r="G72" s="264"/>
      <c r="H72" s="264"/>
      <c r="I72" s="269"/>
      <c r="J72" s="2"/>
      <c r="K72" s="2"/>
    </row>
    <row r="73" spans="1:11" x14ac:dyDescent="0.25">
      <c r="A73" s="150" t="s">
        <v>17</v>
      </c>
      <c r="B73" s="270" t="s">
        <v>13</v>
      </c>
      <c r="C73" s="151">
        <f>97.93*(C43*1000)/1000000</f>
        <v>3.2709599299999996</v>
      </c>
      <c r="D73" s="151">
        <f>105.07*(D43*1000)/1000000</f>
        <v>1.73953892</v>
      </c>
      <c r="E73" s="151">
        <f>116.54*(E43*1000)/1000000</f>
        <v>1.2896316400000001</v>
      </c>
      <c r="F73" s="151">
        <f>116.04*(F43*1000)/1000000</f>
        <v>1.1868571200000002</v>
      </c>
      <c r="G73" s="151">
        <v>0</v>
      </c>
      <c r="H73" s="151">
        <v>0</v>
      </c>
      <c r="I73" s="271">
        <f>SUM(C73:H73)</f>
        <v>7.486987609999999</v>
      </c>
      <c r="J73" s="2"/>
      <c r="K73" s="2"/>
    </row>
    <row r="74" spans="1:11" x14ac:dyDescent="0.25">
      <c r="A74" s="150" t="s">
        <v>162</v>
      </c>
      <c r="B74" s="270" t="s">
        <v>13</v>
      </c>
      <c r="C74" s="151">
        <f t="shared" ref="C74" si="44">97.93*(C44*1000)/1000000</f>
        <v>0.41775733461000009</v>
      </c>
      <c r="D74" s="151">
        <f>105.07*(D44*1000)/1000000</f>
        <v>0.29389387121499999</v>
      </c>
      <c r="E74" s="151">
        <f>116.54*(E44*1000)/1000000</f>
        <v>0.35901312400000002</v>
      </c>
      <c r="F74" s="151">
        <f>116.04*(F44*1000)/1000000</f>
        <v>0.39178005000000005</v>
      </c>
      <c r="G74" s="151">
        <v>0</v>
      </c>
      <c r="H74" s="151">
        <v>0</v>
      </c>
      <c r="I74" s="271">
        <f>SUM(C74:H74)</f>
        <v>1.462444379825</v>
      </c>
      <c r="J74" s="2"/>
      <c r="K74" s="2"/>
    </row>
    <row r="75" spans="1:11" x14ac:dyDescent="0.25">
      <c r="A75" s="150" t="s">
        <v>163</v>
      </c>
      <c r="B75" s="270" t="s">
        <v>13</v>
      </c>
      <c r="C75" s="151">
        <f t="shared" ref="C75" si="45">97.93*(C45*1000)/1000000</f>
        <v>0.49139591562599994</v>
      </c>
      <c r="D75" s="151">
        <f>105.07*(D45*1000)/1000000</f>
        <v>0.61888231583499986</v>
      </c>
      <c r="E75" s="151">
        <f>116.54*(E45*1000)/1000000</f>
        <v>0.30786604880000001</v>
      </c>
      <c r="F75" s="151">
        <f>116.04*(F45*1000)/1000000</f>
        <v>0.33596481</v>
      </c>
      <c r="G75" s="151">
        <v>0</v>
      </c>
      <c r="H75" s="151">
        <v>0</v>
      </c>
      <c r="I75" s="271">
        <f>SUM(C75:H75)</f>
        <v>1.7541090902609997</v>
      </c>
      <c r="J75" s="2"/>
      <c r="K75" s="2"/>
    </row>
    <row r="76" spans="1:11" x14ac:dyDescent="0.25">
      <c r="A76" s="155" t="s">
        <v>231</v>
      </c>
      <c r="B76" s="270" t="s">
        <v>13</v>
      </c>
      <c r="C76" s="178">
        <f t="shared" ref="C76:I76" si="46">SUM(C73:C75)</f>
        <v>4.1801131802359999</v>
      </c>
      <c r="D76" s="178">
        <f t="shared" si="46"/>
        <v>2.6523151070499997</v>
      </c>
      <c r="E76" s="178">
        <f t="shared" si="46"/>
        <v>1.9565108128000002</v>
      </c>
      <c r="F76" s="178">
        <f t="shared" si="46"/>
        <v>1.9146019800000005</v>
      </c>
      <c r="G76" s="178">
        <f t="shared" si="46"/>
        <v>0</v>
      </c>
      <c r="H76" s="178">
        <f t="shared" si="46"/>
        <v>0</v>
      </c>
      <c r="I76" s="154">
        <f t="shared" si="46"/>
        <v>10.703541080086</v>
      </c>
      <c r="J76" s="2"/>
      <c r="K76" s="2"/>
    </row>
    <row r="77" spans="1:11" x14ac:dyDescent="0.25">
      <c r="A77" s="272"/>
      <c r="B77" s="270"/>
      <c r="C77" s="178"/>
      <c r="D77" s="178"/>
      <c r="E77" s="178"/>
      <c r="F77" s="178"/>
      <c r="G77" s="178"/>
      <c r="H77" s="178"/>
      <c r="I77" s="154"/>
      <c r="J77" s="2"/>
      <c r="K77" s="2"/>
    </row>
    <row r="78" spans="1:11" x14ac:dyDescent="0.25">
      <c r="A78" s="155" t="s">
        <v>232</v>
      </c>
      <c r="B78" s="133"/>
      <c r="C78" s="133"/>
      <c r="D78" s="133"/>
      <c r="E78" s="133"/>
      <c r="F78" s="133"/>
      <c r="G78" s="133"/>
      <c r="H78" s="133"/>
      <c r="I78" s="273"/>
      <c r="J78" s="2"/>
      <c r="K78" s="2"/>
    </row>
    <row r="79" spans="1:11" x14ac:dyDescent="0.25">
      <c r="A79" s="150" t="s">
        <v>17</v>
      </c>
      <c r="B79" s="133" t="s">
        <v>233</v>
      </c>
      <c r="C79" s="265">
        <f>C43*1000*0.00217</f>
        <v>72.480169999999987</v>
      </c>
      <c r="D79" s="265">
        <f>D43*1000*0.00236</f>
        <v>39.072160000000004</v>
      </c>
      <c r="E79" s="265">
        <f>E43*1000*0.00751</f>
        <v>83.10566</v>
      </c>
      <c r="F79" s="265">
        <f>F43*1000*0.00587</f>
        <v>60.038360000000004</v>
      </c>
      <c r="G79" s="265">
        <f>G43*1000*0.32372</f>
        <v>1537.0225600000001</v>
      </c>
      <c r="H79" s="265">
        <f>H43*1000*0.32863</f>
        <v>882.04291999999998</v>
      </c>
      <c r="I79" s="268">
        <f>SUM(C79:H79)</f>
        <v>2673.7618299999999</v>
      </c>
      <c r="J79" s="2"/>
      <c r="K79" s="2"/>
    </row>
    <row r="80" spans="1:11" x14ac:dyDescent="0.25">
      <c r="A80" s="150" t="s">
        <v>162</v>
      </c>
      <c r="B80" s="133" t="s">
        <v>233</v>
      </c>
      <c r="C80" s="265">
        <f t="shared" ref="C80:C81" si="47">C44*1000*0.00217</f>
        <v>9.2569530900000014</v>
      </c>
      <c r="D80" s="265">
        <f t="shared" ref="D80:D81" si="48">D44*1000*0.00236</f>
        <v>6.6012138200000008</v>
      </c>
      <c r="E80" s="265">
        <f t="shared" ref="E80:E81" si="49">E44*1000*0.00751</f>
        <v>23.135306</v>
      </c>
      <c r="F80" s="265">
        <f t="shared" ref="F80:F81" si="50">F44*1000*0.00587</f>
        <v>19.8185875</v>
      </c>
      <c r="G80" s="265">
        <f t="shared" ref="G80:G81" si="51">G44*1000*0.32372</f>
        <v>598.46925699999997</v>
      </c>
      <c r="H80" s="265">
        <f t="shared" ref="H80:H81" si="52">H44*1000*0.32863</f>
        <v>347.61495509999997</v>
      </c>
      <c r="I80" s="268">
        <f>SUM(C80:H80)</f>
        <v>1004.8962725099999</v>
      </c>
      <c r="J80" s="2"/>
      <c r="K80" s="2"/>
    </row>
    <row r="81" spans="1:11" x14ac:dyDescent="0.25">
      <c r="A81" s="150" t="s">
        <v>163</v>
      </c>
      <c r="B81" s="133" t="s">
        <v>233</v>
      </c>
      <c r="C81" s="265">
        <f t="shared" si="47"/>
        <v>10.888687193999997</v>
      </c>
      <c r="D81" s="265">
        <f t="shared" si="48"/>
        <v>13.900849579999999</v>
      </c>
      <c r="E81" s="265">
        <f t="shared" si="49"/>
        <v>19.8393172</v>
      </c>
      <c r="F81" s="265">
        <f t="shared" si="50"/>
        <v>16.995117499999999</v>
      </c>
      <c r="G81" s="265">
        <f t="shared" si="51"/>
        <v>513.2078833999999</v>
      </c>
      <c r="H81" s="265">
        <f t="shared" si="52"/>
        <v>298.09172862000003</v>
      </c>
      <c r="I81" s="268">
        <f>SUM(C81:H81)</f>
        <v>872.9235834939999</v>
      </c>
      <c r="J81" s="2"/>
      <c r="K81" s="2"/>
    </row>
    <row r="82" spans="1:11" x14ac:dyDescent="0.25">
      <c r="A82" s="155" t="s">
        <v>234</v>
      </c>
      <c r="B82" s="133" t="s">
        <v>233</v>
      </c>
      <c r="C82" s="264">
        <f t="shared" ref="C82:I82" si="53">SUM(C79:C81)</f>
        <v>92.625810283999982</v>
      </c>
      <c r="D82" s="264">
        <f t="shared" si="53"/>
        <v>59.574223400000001</v>
      </c>
      <c r="E82" s="264">
        <f t="shared" si="53"/>
        <v>126.0802832</v>
      </c>
      <c r="F82" s="264">
        <f t="shared" si="53"/>
        <v>96.85206500000001</v>
      </c>
      <c r="G82" s="264">
        <f t="shared" si="53"/>
        <v>2648.6997004</v>
      </c>
      <c r="H82" s="264">
        <f t="shared" si="53"/>
        <v>1527.7496037199999</v>
      </c>
      <c r="I82" s="269">
        <f t="shared" si="53"/>
        <v>4551.5816860039995</v>
      </c>
      <c r="J82" s="2"/>
      <c r="K82" s="2"/>
    </row>
    <row r="83" spans="1:11" x14ac:dyDescent="0.25">
      <c r="A83" s="272"/>
      <c r="B83" s="133"/>
      <c r="C83" s="264"/>
      <c r="D83" s="264"/>
      <c r="E83" s="264"/>
      <c r="F83" s="264"/>
      <c r="G83" s="264"/>
      <c r="H83" s="264"/>
      <c r="I83" s="269"/>
      <c r="J83" s="2"/>
      <c r="K83" s="2"/>
    </row>
    <row r="84" spans="1:11" x14ac:dyDescent="0.25">
      <c r="A84" s="150" t="s">
        <v>17</v>
      </c>
      <c r="B84" s="270" t="s">
        <v>13</v>
      </c>
      <c r="C84" s="151">
        <f>1.8*C43*1000/1000000</f>
        <v>6.0121799999999996E-2</v>
      </c>
      <c r="D84" s="151">
        <f>1.95*D43*1000/1000000</f>
        <v>3.2284199999999999E-2</v>
      </c>
      <c r="E84" s="151">
        <f>6.22*E43*1000/1000000</f>
        <v>6.8830520000000006E-2</v>
      </c>
      <c r="F84" s="151">
        <f>4.86*F43*1000/1000000</f>
        <v>4.9708080000000002E-2</v>
      </c>
      <c r="G84" s="151">
        <f>267.98*G43*1000/1000000</f>
        <v>1.2723690400000001</v>
      </c>
      <c r="H84" s="151">
        <f>267.98*H43*1000/1000000</f>
        <v>0.71925832000000023</v>
      </c>
      <c r="I84" s="271">
        <f>SUM(C84:H84)</f>
        <v>2.2025719600000002</v>
      </c>
      <c r="J84" s="2"/>
      <c r="K84" s="2"/>
    </row>
    <row r="85" spans="1:11" x14ac:dyDescent="0.25">
      <c r="A85" s="150" t="s">
        <v>162</v>
      </c>
      <c r="B85" s="270" t="s">
        <v>13</v>
      </c>
      <c r="C85" s="151">
        <f t="shared" ref="C85:C86" si="54">1.8*C44*1000/1000000</f>
        <v>7.6785786000000012E-3</v>
      </c>
      <c r="D85" s="151">
        <f t="shared" ref="D85:D86" si="55">1.95*D44*1000/1000000</f>
        <v>5.4543927750000006E-3</v>
      </c>
      <c r="E85" s="151">
        <f t="shared" ref="E85:E86" si="56">6.22*E44*1000/1000000</f>
        <v>1.9161332E-2</v>
      </c>
      <c r="F85" s="151">
        <f t="shared" ref="F85:F86" si="57">4.86*F44*1000/1000000</f>
        <v>1.6408575000000005E-2</v>
      </c>
      <c r="G85" s="151">
        <f t="shared" ref="G85:H85" si="58">267.98*G44*1000/1000000</f>
        <v>0.49542132550000001</v>
      </c>
      <c r="H85" s="151">
        <f t="shared" si="58"/>
        <v>0.28346120460000002</v>
      </c>
      <c r="I85" s="271">
        <f>SUM(C85:H85)</f>
        <v>0.82758540847500006</v>
      </c>
      <c r="J85" s="2"/>
      <c r="K85" s="2"/>
    </row>
    <row r="86" spans="1:11" x14ac:dyDescent="0.25">
      <c r="A86" s="150" t="s">
        <v>163</v>
      </c>
      <c r="B86" s="270" t="s">
        <v>13</v>
      </c>
      <c r="C86" s="151">
        <f t="shared" si="54"/>
        <v>9.03209076E-3</v>
      </c>
      <c r="D86" s="151">
        <f t="shared" si="55"/>
        <v>1.1485871474999999E-2</v>
      </c>
      <c r="E86" s="151">
        <f t="shared" si="56"/>
        <v>1.6431498400000001E-2</v>
      </c>
      <c r="F86" s="151">
        <f t="shared" si="57"/>
        <v>1.4070915000000002E-2</v>
      </c>
      <c r="G86" s="151">
        <f t="shared" ref="G86:H86" si="59">267.98*G45*1000/1000000</f>
        <v>0.42484075309999997</v>
      </c>
      <c r="H86" s="151">
        <f t="shared" si="59"/>
        <v>0.24307769052000003</v>
      </c>
      <c r="I86" s="271">
        <f>SUM(C86:H86)</f>
        <v>0.71893881925500003</v>
      </c>
      <c r="J86" s="2"/>
      <c r="K86" s="2"/>
    </row>
    <row r="87" spans="1:11" x14ac:dyDescent="0.25">
      <c r="A87" s="155" t="s">
        <v>234</v>
      </c>
      <c r="B87" s="270" t="s">
        <v>13</v>
      </c>
      <c r="C87" s="178">
        <f t="shared" ref="C87:I87" si="60">SUM(C84:C86)</f>
        <v>7.6832469360000002E-2</v>
      </c>
      <c r="D87" s="178">
        <f t="shared" si="60"/>
        <v>4.9224464249999995E-2</v>
      </c>
      <c r="E87" s="178">
        <f t="shared" si="60"/>
        <v>0.1044233504</v>
      </c>
      <c r="F87" s="178">
        <f t="shared" si="60"/>
        <v>8.0187570000000014E-2</v>
      </c>
      <c r="G87" s="178">
        <f t="shared" si="60"/>
        <v>2.1926311186</v>
      </c>
      <c r="H87" s="178">
        <f t="shared" si="60"/>
        <v>1.2457972151200003</v>
      </c>
      <c r="I87" s="154">
        <f t="shared" si="60"/>
        <v>3.7490961877300002</v>
      </c>
      <c r="J87" s="2"/>
      <c r="K87" s="2"/>
    </row>
    <row r="88" spans="1:11" x14ac:dyDescent="0.25">
      <c r="A88" s="274"/>
      <c r="B88" s="95"/>
      <c r="C88" s="104"/>
      <c r="D88" s="104"/>
      <c r="E88" s="104"/>
      <c r="F88" s="104"/>
      <c r="G88" s="104"/>
      <c r="H88" s="104"/>
      <c r="I88" s="275"/>
      <c r="J88" s="2"/>
      <c r="K88" s="2"/>
    </row>
    <row r="89" spans="1:11" x14ac:dyDescent="0.25">
      <c r="A89" s="276"/>
      <c r="B89" s="277"/>
      <c r="C89" s="278"/>
      <c r="D89" s="278"/>
      <c r="E89" s="278"/>
      <c r="F89" s="278"/>
      <c r="G89" s="278"/>
      <c r="H89" s="278"/>
      <c r="I89" s="279"/>
      <c r="J89" s="2"/>
      <c r="K8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7A314-EB60-4FF6-9615-88333C302132}">
  <dimension ref="A1:M83"/>
  <sheetViews>
    <sheetView topLeftCell="A37" zoomScale="130" zoomScaleNormal="130" workbookViewId="0">
      <selection activeCell="L48" sqref="L48"/>
    </sheetView>
  </sheetViews>
  <sheetFormatPr defaultRowHeight="15" x14ac:dyDescent="0.25"/>
  <cols>
    <col min="1" max="1" width="28.85546875" bestFit="1" customWidth="1"/>
    <col min="2" max="2" width="9.28515625" bestFit="1" customWidth="1"/>
    <col min="3" max="7" width="7.7109375" bestFit="1" customWidth="1"/>
    <col min="8" max="8" width="6.85546875" bestFit="1" customWidth="1"/>
    <col min="9" max="10" width="9" bestFit="1" customWidth="1"/>
    <col min="11" max="11" width="8.5703125" bestFit="1" customWidth="1"/>
    <col min="12" max="12" width="12.7109375" bestFit="1" customWidth="1"/>
    <col min="13" max="13" width="9.85546875" bestFit="1" customWidth="1"/>
  </cols>
  <sheetData>
    <row r="1" spans="1:13" x14ac:dyDescent="0.25">
      <c r="A1" s="129" t="s">
        <v>235</v>
      </c>
      <c r="B1" s="129"/>
      <c r="C1" s="130" t="s">
        <v>0</v>
      </c>
      <c r="D1" s="130" t="s">
        <v>1</v>
      </c>
      <c r="E1" s="130" t="s">
        <v>2</v>
      </c>
      <c r="F1" s="130" t="s">
        <v>3</v>
      </c>
      <c r="G1" s="130" t="s">
        <v>4</v>
      </c>
      <c r="H1" s="130" t="s">
        <v>5</v>
      </c>
      <c r="I1" s="130" t="s">
        <v>6</v>
      </c>
      <c r="J1" s="130" t="s">
        <v>196</v>
      </c>
      <c r="K1" s="130" t="s">
        <v>197</v>
      </c>
    </row>
    <row r="2" spans="1:13" x14ac:dyDescent="0.25">
      <c r="A2" s="133"/>
      <c r="B2" s="133"/>
      <c r="C2" s="133"/>
      <c r="D2" s="133"/>
      <c r="E2" s="133"/>
      <c r="F2" s="133"/>
      <c r="G2" s="133"/>
      <c r="H2" s="133"/>
      <c r="I2" s="133"/>
      <c r="J2" s="2"/>
      <c r="K2" s="2"/>
    </row>
    <row r="3" spans="1:13" x14ac:dyDescent="0.25">
      <c r="A3" s="233" t="s">
        <v>198</v>
      </c>
      <c r="B3" s="234" t="s">
        <v>14</v>
      </c>
      <c r="C3" s="235">
        <f>'Poupança 2028-2053'!C10</f>
        <v>196.7155253535278</v>
      </c>
      <c r="D3" s="235">
        <f>'Poupança 2028-2053'!D10</f>
        <v>204.19344801516141</v>
      </c>
      <c r="E3" s="235">
        <f>'Poupança 2028-2053'!E10</f>
        <v>224.85099901145892</v>
      </c>
      <c r="F3" s="235">
        <f>'Poupança 2028-2053'!F10</f>
        <v>221.54851664036232</v>
      </c>
      <c r="G3" s="235">
        <f>'Poupança 2028-2053'!G10</f>
        <v>364.45631963810911</v>
      </c>
      <c r="H3" s="235">
        <f>'Poupança 2028-2053'!H10</f>
        <v>365.91542613312902</v>
      </c>
      <c r="I3" s="235">
        <f>'Poupança 2028-2053'!I10</f>
        <v>225.1625402304654</v>
      </c>
      <c r="J3" s="253">
        <f>0.642*C3+0.358*D3</f>
        <v>199.39262166639264</v>
      </c>
      <c r="K3" s="236">
        <f>0.384*E3+0.382*F3+0.234*G3</f>
        <v>256.25709577233619</v>
      </c>
    </row>
    <row r="4" spans="1:13" x14ac:dyDescent="0.25">
      <c r="A4" s="183" t="s">
        <v>236</v>
      </c>
      <c r="B4" s="184" t="s">
        <v>14</v>
      </c>
      <c r="C4" s="292">
        <f>C3/(1.0175^12.5)</f>
        <v>158.36471127333908</v>
      </c>
      <c r="D4" s="292">
        <f t="shared" ref="D4:K4" si="0">D3/(1.0175^12.5)</f>
        <v>164.38477024481941</v>
      </c>
      <c r="E4" s="292">
        <f t="shared" si="0"/>
        <v>181.01501380726157</v>
      </c>
      <c r="F4" s="292">
        <f t="shared" si="0"/>
        <v>178.35636921759789</v>
      </c>
      <c r="G4" s="292">
        <f t="shared" si="0"/>
        <v>293.40348062262319</v>
      </c>
      <c r="H4" s="292">
        <f t="shared" si="0"/>
        <v>294.57812598112048</v>
      </c>
      <c r="I4" s="292">
        <f t="shared" si="0"/>
        <v>181.2658182880418</v>
      </c>
      <c r="J4" s="292">
        <f t="shared" si="0"/>
        <v>160.51989238512905</v>
      </c>
      <c r="K4" s="292">
        <f t="shared" si="0"/>
        <v>206.29831280880467</v>
      </c>
      <c r="M4" s="292"/>
    </row>
    <row r="5" spans="1:13" x14ac:dyDescent="0.25">
      <c r="A5" s="183" t="s">
        <v>199</v>
      </c>
      <c r="B5" s="184" t="s">
        <v>14</v>
      </c>
      <c r="C5" s="292">
        <f>'Poupança 2028-2053'!C15</f>
        <v>168.94045710771474</v>
      </c>
      <c r="D5" s="292">
        <f>'Poupança 2028-2053'!D15</f>
        <v>170.49562001650503</v>
      </c>
      <c r="E5" s="292">
        <f>'Poupança 2028-2053'!E15</f>
        <v>191.57118775643207</v>
      </c>
      <c r="F5" s="292">
        <f>'Poupança 2028-2053'!F15</f>
        <v>196.3237656056954</v>
      </c>
      <c r="G5" s="292">
        <f>'Poupança 2028-2053'!G15</f>
        <v>238.48734238881974</v>
      </c>
      <c r="H5" s="292">
        <f>'Poupança 2028-2053'!H15</f>
        <v>244.75775923706246</v>
      </c>
      <c r="I5" s="292">
        <f>'Poupança 2028-2053'!I15</f>
        <v>183.97744541541039</v>
      </c>
      <c r="J5" s="235">
        <f>0.642*C5+0.358*D5</f>
        <v>169.49720542906164</v>
      </c>
      <c r="K5" s="236">
        <f>0.384*E5+0.382*F5+0.234*G5</f>
        <v>204.36505267882939</v>
      </c>
    </row>
    <row r="6" spans="1:13" x14ac:dyDescent="0.25">
      <c r="A6" s="183" t="s">
        <v>237</v>
      </c>
      <c r="B6" s="184" t="s">
        <v>14</v>
      </c>
      <c r="C6" s="292">
        <f>C5/(1.0175^12.5)</f>
        <v>136.00455106005376</v>
      </c>
      <c r="D6" s="292">
        <f t="shared" ref="D6" si="1">D5/(1.0175^12.5)</f>
        <v>137.25652608638163</v>
      </c>
      <c r="E6" s="292">
        <f t="shared" ref="E6" si="2">E5/(1.0175^12.5)</f>
        <v>154.2232916431775</v>
      </c>
      <c r="F6" s="292">
        <f t="shared" ref="F6" si="3">F5/(1.0175^12.5)</f>
        <v>158.04932732363559</v>
      </c>
      <c r="G6" s="292">
        <f t="shared" ref="G6" si="4">G5/(1.0175^12.5)</f>
        <v>191.99287423743797</v>
      </c>
      <c r="H6" s="292">
        <f t="shared" ref="H6" si="5">H5/(1.0175^12.5)</f>
        <v>197.04083754359209</v>
      </c>
      <c r="I6" s="292">
        <f t="shared" ref="I6" si="6">I5/(1.0175^12.5)</f>
        <v>148.10999269964569</v>
      </c>
      <c r="J6" s="292">
        <f t="shared" ref="J6" si="7">J5/(1.0175^12.5)</f>
        <v>136.45275811947911</v>
      </c>
      <c r="K6" s="292">
        <f t="shared" ref="K6" si="8">K5/(1.0175^12.5)</f>
        <v>164.52291960016944</v>
      </c>
    </row>
    <row r="7" spans="1:13" x14ac:dyDescent="0.25">
      <c r="A7" s="133"/>
      <c r="B7" s="133"/>
      <c r="C7" s="133"/>
      <c r="D7" s="133"/>
      <c r="E7" s="133"/>
      <c r="F7" s="133"/>
      <c r="G7" s="133"/>
      <c r="H7" s="133"/>
      <c r="I7" s="133"/>
      <c r="J7" s="2"/>
      <c r="K7" s="2"/>
    </row>
    <row r="8" spans="1:13" x14ac:dyDescent="0.25">
      <c r="A8" s="241" t="s">
        <v>200</v>
      </c>
      <c r="B8" s="226"/>
      <c r="C8" s="226"/>
      <c r="D8" s="226"/>
      <c r="E8" s="226"/>
      <c r="F8" s="226"/>
      <c r="G8" s="226"/>
      <c r="H8" s="226"/>
      <c r="I8" s="242"/>
      <c r="J8" s="255"/>
      <c r="K8" s="256"/>
    </row>
    <row r="9" spans="1:13" x14ac:dyDescent="0.25">
      <c r="A9" s="243" t="s">
        <v>201</v>
      </c>
      <c r="B9" s="133" t="s">
        <v>9</v>
      </c>
      <c r="C9" s="244">
        <f>'Poupança 2028-2053'!C16</f>
        <v>779.70799999999997</v>
      </c>
      <c r="D9" s="244">
        <f>'Poupança 2028-2053'!D16</f>
        <v>406.06700000000001</v>
      </c>
      <c r="E9" s="244">
        <f>'Poupança 2028-2053'!E16</f>
        <v>290.738</v>
      </c>
      <c r="F9" s="244">
        <f>'Poupança 2028-2053'!F16</f>
        <v>268.94400000000002</v>
      </c>
      <c r="G9" s="244">
        <f>'Poupança 2028-2053'!G16</f>
        <v>120.51300000000001</v>
      </c>
      <c r="H9" s="244">
        <f>'Poupança 2028-2053'!H16</f>
        <v>68.691999999999993</v>
      </c>
      <c r="I9" s="244">
        <f>'Poupança 2028-2053'!I16</f>
        <v>1934.662</v>
      </c>
      <c r="J9" s="257">
        <f t="shared" ref="J9" si="9">C9+D9</f>
        <v>1185.7750000000001</v>
      </c>
      <c r="K9" s="245">
        <f t="shared" ref="K9" si="10">E9+F9+G9</f>
        <v>680.19500000000005</v>
      </c>
    </row>
    <row r="10" spans="1:13" x14ac:dyDescent="0.25">
      <c r="A10" s="243" t="s">
        <v>202</v>
      </c>
      <c r="B10" s="133" t="s">
        <v>13</v>
      </c>
      <c r="C10" s="213">
        <f>C5*C9/1000</f>
        <v>131.72422593054205</v>
      </c>
      <c r="D10" s="213">
        <f t="shared" ref="D10:I10" si="11">D5*D9/1000</f>
        <v>69.232644933242142</v>
      </c>
      <c r="E10" s="213">
        <f t="shared" si="11"/>
        <v>55.697023985929548</v>
      </c>
      <c r="F10" s="213">
        <f t="shared" si="11"/>
        <v>52.800098817058149</v>
      </c>
      <c r="G10" s="213">
        <f t="shared" si="11"/>
        <v>28.740825093303837</v>
      </c>
      <c r="H10" s="213">
        <f t="shared" si="11"/>
        <v>16.812899997512293</v>
      </c>
      <c r="I10" s="246">
        <f t="shared" si="11"/>
        <v>355.93417250226867</v>
      </c>
      <c r="J10" s="257">
        <f t="shared" ref="J10:J11" si="12">C10+D10</f>
        <v>200.95687086378419</v>
      </c>
      <c r="K10" s="245">
        <f t="shared" ref="K10:K11" si="13">E10+F10+G10</f>
        <v>137.23794789629153</v>
      </c>
    </row>
    <row r="11" spans="1:13" x14ac:dyDescent="0.25">
      <c r="A11" s="243" t="s">
        <v>203</v>
      </c>
      <c r="B11" s="133" t="s">
        <v>13</v>
      </c>
      <c r="C11" s="213">
        <f>(C3-C5)*C9/1000</f>
        <v>21.656442911806408</v>
      </c>
      <c r="D11" s="213">
        <f t="shared" ref="D11:I11" si="14">(D3-D5)*D9/1000</f>
        <v>13.6835759219304</v>
      </c>
      <c r="E11" s="213">
        <f t="shared" si="14"/>
        <v>9.6757057646639986</v>
      </c>
      <c r="F11" s="213">
        <f t="shared" si="14"/>
        <v>6.7840454422674608</v>
      </c>
      <c r="G11" s="213">
        <f t="shared" si="14"/>
        <v>15.180899355243609</v>
      </c>
      <c r="H11" s="213">
        <f t="shared" si="14"/>
        <v>8.3225624544246042</v>
      </c>
      <c r="I11" s="246">
        <f t="shared" si="14"/>
        <v>79.679237905083951</v>
      </c>
      <c r="J11" s="257">
        <f t="shared" si="12"/>
        <v>35.340018833736806</v>
      </c>
      <c r="K11" s="245">
        <f t="shared" si="13"/>
        <v>31.640650562175068</v>
      </c>
    </row>
    <row r="12" spans="1:13" x14ac:dyDescent="0.25">
      <c r="A12" s="243" t="s">
        <v>204</v>
      </c>
      <c r="B12" s="133" t="s">
        <v>14</v>
      </c>
      <c r="C12" s="213">
        <f t="shared" ref="C12:K12" si="15">C3-C5</f>
        <v>27.77506824581306</v>
      </c>
      <c r="D12" s="213">
        <f t="shared" si="15"/>
        <v>33.697827998656379</v>
      </c>
      <c r="E12" s="213">
        <f t="shared" si="15"/>
        <v>33.279811255026857</v>
      </c>
      <c r="F12" s="213">
        <f t="shared" si="15"/>
        <v>25.224751034666923</v>
      </c>
      <c r="G12" s="213">
        <f t="shared" si="15"/>
        <v>125.96897724928937</v>
      </c>
      <c r="H12" s="213">
        <f t="shared" si="15"/>
        <v>121.15766689606656</v>
      </c>
      <c r="I12" s="246">
        <f t="shared" si="15"/>
        <v>41.18509481505501</v>
      </c>
      <c r="J12" s="257">
        <f t="shared" si="15"/>
        <v>29.895416237331006</v>
      </c>
      <c r="K12" s="245">
        <f t="shared" si="15"/>
        <v>51.8920430935068</v>
      </c>
    </row>
    <row r="13" spans="1:13" x14ac:dyDescent="0.25">
      <c r="A13" s="247" t="s">
        <v>205</v>
      </c>
      <c r="B13" s="211" t="s">
        <v>14</v>
      </c>
      <c r="C13" s="231">
        <f t="shared" ref="C13:K13" si="16">C5</f>
        <v>168.94045710771474</v>
      </c>
      <c r="D13" s="231">
        <f t="shared" si="16"/>
        <v>170.49562001650503</v>
      </c>
      <c r="E13" s="231">
        <f t="shared" si="16"/>
        <v>191.57118775643207</v>
      </c>
      <c r="F13" s="231">
        <f t="shared" si="16"/>
        <v>196.3237656056954</v>
      </c>
      <c r="G13" s="231">
        <f t="shared" si="16"/>
        <v>238.48734238881974</v>
      </c>
      <c r="H13" s="231">
        <f t="shared" si="16"/>
        <v>244.75775923706246</v>
      </c>
      <c r="I13" s="248">
        <f t="shared" si="16"/>
        <v>183.97744541541039</v>
      </c>
      <c r="J13" s="258">
        <f t="shared" si="16"/>
        <v>169.49720542906164</v>
      </c>
      <c r="K13" s="259">
        <f t="shared" si="16"/>
        <v>204.36505267882939</v>
      </c>
    </row>
    <row r="14" spans="1:13" x14ac:dyDescent="0.25">
      <c r="A14" s="133"/>
      <c r="B14" s="133"/>
      <c r="C14" s="133"/>
      <c r="D14" s="133"/>
      <c r="E14" s="133"/>
      <c r="F14" s="133"/>
      <c r="G14" s="133"/>
      <c r="H14" s="133"/>
      <c r="I14" s="133"/>
      <c r="J14" s="2"/>
      <c r="K14" s="2"/>
    </row>
    <row r="15" spans="1:13" x14ac:dyDescent="0.25">
      <c r="A15" s="241" t="s">
        <v>206</v>
      </c>
      <c r="B15" s="226"/>
      <c r="C15" s="226"/>
      <c r="D15" s="226"/>
      <c r="E15" s="226"/>
      <c r="F15" s="226"/>
      <c r="G15" s="226"/>
      <c r="H15" s="226"/>
      <c r="I15" s="226"/>
      <c r="J15" s="255"/>
      <c r="K15" s="256"/>
    </row>
    <row r="16" spans="1:13" x14ac:dyDescent="0.25">
      <c r="A16" s="243" t="s">
        <v>201</v>
      </c>
      <c r="B16" s="133" t="s">
        <v>9</v>
      </c>
      <c r="C16" s="213">
        <f>'Resumo de poupança 2028-2029'!C17*25</f>
        <v>106.64692500000001</v>
      </c>
      <c r="D16" s="213">
        <f>'Resumo de poupança 2028-2029'!D17*25*0.95</f>
        <v>66.431706875000003</v>
      </c>
      <c r="E16" s="213">
        <f>'Resumo de poupança 2028-2029'!E17*25*0.9</f>
        <v>69.313500000000005</v>
      </c>
      <c r="F16" s="213">
        <f>'Resumo de poupança 2028-2029'!F17*25*0.9</f>
        <v>75.965625000000003</v>
      </c>
      <c r="G16" s="213">
        <f>'Resumo de poupança 2028-2029'!G17*25*0.9</f>
        <v>41.596312500000003</v>
      </c>
      <c r="H16" s="213">
        <f>'Resumo de poupança 2028-2029'!H17*25*0.9</f>
        <v>23.799824999999998</v>
      </c>
      <c r="I16" s="213">
        <f t="shared" ref="I16:I17" si="17">SUM(C16:H16)</f>
        <v>383.75389437500002</v>
      </c>
      <c r="J16" s="261">
        <f t="shared" ref="J16:J22" si="18">C16+D16</f>
        <v>173.07863187500001</v>
      </c>
      <c r="K16" s="246">
        <f t="shared" ref="K16:K22" si="19">E16+F16+G16</f>
        <v>186.87543750000003</v>
      </c>
    </row>
    <row r="17" spans="1:11" x14ac:dyDescent="0.25">
      <c r="A17" s="243" t="s">
        <v>208</v>
      </c>
      <c r="B17" s="133" t="s">
        <v>9</v>
      </c>
      <c r="C17" s="213">
        <f>'Poupança 2028-2053'!C57+'Poupança 2028-2053'!C20</f>
        <v>57.04180199999999</v>
      </c>
      <c r="D17" s="213">
        <f>'Poupança 2028-2053'!D57+'Poupança 2028-2053'!D20</f>
        <v>54.571993999999989</v>
      </c>
      <c r="E17" s="213">
        <f>'Poupança 2028-2053'!E57+'Poupança 2028-2053'!E20</f>
        <v>66.060088000000007</v>
      </c>
      <c r="F17" s="213">
        <f>'Poupança 2028-2053'!F57+'Poupança 2028-2053'!F20</f>
        <v>64.640839999999997</v>
      </c>
      <c r="G17" s="213">
        <f>'Poupança 2028-2053'!G57+'Poupança 2028-2053'!G20</f>
        <v>36.849409000000001</v>
      </c>
      <c r="H17" s="213">
        <f>'Poupança 2028-2053'!H57+'Poupança 2028-2053'!H20</f>
        <v>19.151716</v>
      </c>
      <c r="I17" s="213">
        <f t="shared" si="17"/>
        <v>298.31584900000001</v>
      </c>
      <c r="J17" s="261">
        <f t="shared" ref="J17" si="20">C17+D17</f>
        <v>111.61379599999998</v>
      </c>
      <c r="K17" s="246">
        <f t="shared" ref="K17" si="21">E17+F17+G17</f>
        <v>167.55033700000001</v>
      </c>
    </row>
    <row r="18" spans="1:11" x14ac:dyDescent="0.25">
      <c r="A18" s="243" t="s">
        <v>209</v>
      </c>
      <c r="B18" s="133" t="s">
        <v>13</v>
      </c>
      <c r="C18" s="213">
        <f>C5*C17/1000</f>
        <v>9.6366681041277555</v>
      </c>
      <c r="D18" s="213">
        <f t="shared" ref="D18:H18" si="22">D5*D17/1000</f>
        <v>9.3042859525669908</v>
      </c>
      <c r="E18" s="213">
        <f t="shared" si="22"/>
        <v>12.655209521454426</v>
      </c>
      <c r="F18" s="213">
        <f t="shared" si="22"/>
        <v>12.69053312071526</v>
      </c>
      <c r="G18" s="213">
        <f t="shared" si="22"/>
        <v>8.7881176210086558</v>
      </c>
      <c r="H18" s="213">
        <f t="shared" si="22"/>
        <v>4.6875310937045969</v>
      </c>
      <c r="I18" s="213">
        <f>SUM(C18:H18)</f>
        <v>57.762345413577684</v>
      </c>
      <c r="J18" s="261">
        <f t="shared" si="18"/>
        <v>18.940954056694746</v>
      </c>
      <c r="K18" s="246">
        <f t="shared" si="19"/>
        <v>34.133860263178342</v>
      </c>
    </row>
    <row r="19" spans="1:11" x14ac:dyDescent="0.25">
      <c r="A19" s="243" t="s">
        <v>210</v>
      </c>
      <c r="B19" s="133" t="s">
        <v>13</v>
      </c>
      <c r="C19" s="213">
        <f>-'Poupança 2028-2053'!C48</f>
        <v>-13.773857506245427</v>
      </c>
      <c r="D19" s="213">
        <f>-'Poupança 2028-2053'!D48</f>
        <v>-11.495009716229657</v>
      </c>
      <c r="E19" s="213">
        <f>-'Poupança 2028-2053'!E48</f>
        <v>-11.164239298493861</v>
      </c>
      <c r="F19" s="213">
        <f>-'Poupança 2028-2053'!F48</f>
        <v>-11.645291478737541</v>
      </c>
      <c r="G19" s="213">
        <f>-'Poupança 2028-2053'!G48</f>
        <v>-7.0444749288286079</v>
      </c>
      <c r="H19" s="213">
        <f>-'Poupança 2028-2053'!H48</f>
        <v>-3.5426289833118414</v>
      </c>
      <c r="I19" s="213">
        <f>-'Poupança 2028-2053'!I48</f>
        <v>-58.665501911846938</v>
      </c>
      <c r="J19" s="261">
        <f t="shared" si="18"/>
        <v>-25.268867222475084</v>
      </c>
      <c r="K19" s="246">
        <f t="shared" si="19"/>
        <v>-29.854005706060008</v>
      </c>
    </row>
    <row r="20" spans="1:11" x14ac:dyDescent="0.25">
      <c r="A20" s="243" t="s">
        <v>211</v>
      </c>
      <c r="B20" s="133" t="s">
        <v>13</v>
      </c>
      <c r="C20" s="213">
        <f>-'Poupança 2028-2029'!C58</f>
        <v>0</v>
      </c>
      <c r="D20" s="213">
        <f>-'Poupança 2028-2053'!D52</f>
        <v>0.143971970963752</v>
      </c>
      <c r="E20" s="213">
        <f>-'Poupança 2028-2029'!E58</f>
        <v>0</v>
      </c>
      <c r="F20" s="213">
        <f>-'Poupança 2028-2029'!F58</f>
        <v>0</v>
      </c>
      <c r="G20" s="213">
        <f>-'Poupança 2028-2029'!G58</f>
        <v>0</v>
      </c>
      <c r="H20" s="213">
        <f>-'Poupança 2028-2029'!H58</f>
        <v>0</v>
      </c>
      <c r="I20" s="213">
        <f t="shared" ref="I20:I22" si="23">SUM(C20:H20)</f>
        <v>0.143971970963752</v>
      </c>
      <c r="J20" s="261">
        <f t="shared" si="18"/>
        <v>0.143971970963752</v>
      </c>
      <c r="K20" s="246">
        <f t="shared" si="19"/>
        <v>0</v>
      </c>
    </row>
    <row r="21" spans="1:11" x14ac:dyDescent="0.25">
      <c r="A21" s="243" t="s">
        <v>212</v>
      </c>
      <c r="B21" s="133" t="s">
        <v>13</v>
      </c>
      <c r="C21" s="213">
        <f t="shared" ref="C21:H21" si="24">C18+C19+C20</f>
        <v>-4.1371894021176718</v>
      </c>
      <c r="D21" s="213">
        <f t="shared" si="24"/>
        <v>-2.0467517926989136</v>
      </c>
      <c r="E21" s="213">
        <f t="shared" si="24"/>
        <v>1.4909702229605646</v>
      </c>
      <c r="F21" s="213">
        <f t="shared" si="24"/>
        <v>1.0452416419777197</v>
      </c>
      <c r="G21" s="213">
        <f t="shared" si="24"/>
        <v>1.7436426921800479</v>
      </c>
      <c r="H21" s="213">
        <f t="shared" si="24"/>
        <v>1.1449021103927555</v>
      </c>
      <c r="I21" s="213">
        <f t="shared" si="23"/>
        <v>-0.75918452730549735</v>
      </c>
      <c r="J21" s="261">
        <f t="shared" si="18"/>
        <v>-6.183941194816585</v>
      </c>
      <c r="K21" s="246">
        <f t="shared" si="19"/>
        <v>4.2798545571183322</v>
      </c>
    </row>
    <row r="22" spans="1:11" x14ac:dyDescent="0.25">
      <c r="A22" s="243" t="s">
        <v>203</v>
      </c>
      <c r="B22" s="133" t="s">
        <v>13</v>
      </c>
      <c r="C22" s="213">
        <f t="shared" ref="C22:H22" si="25">(C3*C16)/1000-C21</f>
        <v>25.116295280830954</v>
      </c>
      <c r="D22" s="213">
        <f t="shared" si="25"/>
        <v>15.611671077037666</v>
      </c>
      <c r="E22" s="213">
        <f t="shared" si="25"/>
        <v>14.094239497020196</v>
      </c>
      <c r="F22" s="213">
        <f t="shared" si="25"/>
        <v>15.784829892430304</v>
      </c>
      <c r="G22" s="213">
        <f t="shared" si="25"/>
        <v>13.416396272086626</v>
      </c>
      <c r="H22" s="213">
        <f t="shared" si="25"/>
        <v>7.5638209963761414</v>
      </c>
      <c r="I22" s="213">
        <f t="shared" si="23"/>
        <v>91.587253015781897</v>
      </c>
      <c r="J22" s="261">
        <f t="shared" si="18"/>
        <v>40.727966357868624</v>
      </c>
      <c r="K22" s="246">
        <f t="shared" si="19"/>
        <v>43.295465661537122</v>
      </c>
    </row>
    <row r="23" spans="1:11" x14ac:dyDescent="0.25">
      <c r="A23" s="243" t="s">
        <v>204</v>
      </c>
      <c r="B23" s="133" t="s">
        <v>14</v>
      </c>
      <c r="C23" s="213">
        <f t="shared" ref="C23:K23" si="26">C22*1000000/(C$9*1000+C$17*1000)</f>
        <v>30.016493844155043</v>
      </c>
      <c r="D23" s="213">
        <f t="shared" si="26"/>
        <v>33.891336340139858</v>
      </c>
      <c r="E23" s="213">
        <f t="shared" si="26"/>
        <v>39.502003993418811</v>
      </c>
      <c r="F23" s="213">
        <f t="shared" si="26"/>
        <v>47.318786706345243</v>
      </c>
      <c r="G23" s="213">
        <f t="shared" si="26"/>
        <v>85.257949197299254</v>
      </c>
      <c r="H23" s="213">
        <f t="shared" si="26"/>
        <v>86.105430653413393</v>
      </c>
      <c r="I23" s="213">
        <f t="shared" si="26"/>
        <v>41.015746330308488</v>
      </c>
      <c r="J23" s="261">
        <f t="shared" si="26"/>
        <v>31.392259963580436</v>
      </c>
      <c r="K23" s="246">
        <f t="shared" si="26"/>
        <v>51.071310890073491</v>
      </c>
    </row>
    <row r="24" spans="1:11" x14ac:dyDescent="0.25">
      <c r="A24" s="249" t="s">
        <v>238</v>
      </c>
      <c r="B24" s="250" t="s">
        <v>14</v>
      </c>
      <c r="C24" s="251">
        <f t="shared" ref="C24:K24" si="27">C5-C23</f>
        <v>138.9239632635597</v>
      </c>
      <c r="D24" s="251">
        <f t="shared" si="27"/>
        <v>136.60428367636518</v>
      </c>
      <c r="E24" s="251">
        <f t="shared" si="27"/>
        <v>152.06918376301326</v>
      </c>
      <c r="F24" s="251">
        <f t="shared" si="27"/>
        <v>149.00497889935016</v>
      </c>
      <c r="G24" s="251">
        <f t="shared" si="27"/>
        <v>153.2293931915205</v>
      </c>
      <c r="H24" s="251">
        <f t="shared" si="27"/>
        <v>158.65232858364908</v>
      </c>
      <c r="I24" s="251">
        <f t="shared" si="27"/>
        <v>142.96169908510188</v>
      </c>
      <c r="J24" s="262">
        <f t="shared" si="27"/>
        <v>138.10494546548119</v>
      </c>
      <c r="K24" s="252">
        <f t="shared" si="27"/>
        <v>153.29374178875588</v>
      </c>
    </row>
    <row r="25" spans="1:11" x14ac:dyDescent="0.25">
      <c r="A25" s="286" t="s">
        <v>239</v>
      </c>
      <c r="B25" s="287" t="s">
        <v>14</v>
      </c>
      <c r="C25" s="288">
        <f>C24/(1.0175^12.5)</f>
        <v>111.83994395787047</v>
      </c>
      <c r="D25" s="288">
        <f t="shared" ref="D25:I25" si="28">D24/(1.0175^12.5)</f>
        <v>109.97249914174566</v>
      </c>
      <c r="E25" s="288">
        <f t="shared" si="28"/>
        <v>122.42242871741927</v>
      </c>
      <c r="F25" s="288">
        <f t="shared" si="28"/>
        <v>119.95560807555951</v>
      </c>
      <c r="G25" s="288">
        <f t="shared" si="28"/>
        <v>123.35644869795692</v>
      </c>
      <c r="H25" s="288">
        <f t="shared" si="28"/>
        <v>127.7221518933962</v>
      </c>
      <c r="I25" s="288">
        <f t="shared" si="28"/>
        <v>115.09050014263212</v>
      </c>
      <c r="J25" s="288">
        <f t="shared" ref="J25" si="29">J24/(1.0175^12.5)</f>
        <v>111.18059835265029</v>
      </c>
      <c r="K25" s="289">
        <f t="shared" ref="K25" si="30">K24/(1.0175^12.5)</f>
        <v>123.40825216900329</v>
      </c>
    </row>
    <row r="26" spans="1:11" x14ac:dyDescent="0.25">
      <c r="A26" s="96"/>
      <c r="B26" s="133"/>
      <c r="C26" s="138"/>
      <c r="D26" s="138"/>
      <c r="E26" s="138"/>
      <c r="F26" s="138"/>
      <c r="G26" s="138"/>
      <c r="H26" s="138"/>
      <c r="I26" s="138"/>
      <c r="J26" s="2"/>
      <c r="K26" s="2"/>
    </row>
    <row r="27" spans="1:11" x14ac:dyDescent="0.25">
      <c r="A27" s="241" t="s">
        <v>213</v>
      </c>
      <c r="B27" s="226"/>
      <c r="C27" s="226"/>
      <c r="D27" s="226"/>
      <c r="E27" s="226"/>
      <c r="F27" s="226"/>
      <c r="G27" s="226"/>
      <c r="H27" s="226"/>
      <c r="I27" s="226"/>
      <c r="J27" s="255"/>
      <c r="K27" s="256"/>
    </row>
    <row r="28" spans="1:11" x14ac:dyDescent="0.25">
      <c r="A28" s="243" t="s">
        <v>125</v>
      </c>
      <c r="B28" s="133" t="s">
        <v>9</v>
      </c>
      <c r="C28" s="213">
        <f>'Resumo de poupança 2028-2029'!C31*25</f>
        <v>125.44570499999999</v>
      </c>
      <c r="D28" s="213">
        <f>'Resumo de poupança 2028-2029'!D31*25*0.95</f>
        <v>139.89202437500001</v>
      </c>
      <c r="E28" s="213">
        <f>'Resumo de poupança 2028-2029'!E31*25*0.9</f>
        <v>59.438699999999997</v>
      </c>
      <c r="F28" s="213">
        <f>'Resumo de poupança 2028-2029'!F31*25*0.9</f>
        <v>65.143124999999998</v>
      </c>
      <c r="G28" s="213">
        <f>'Resumo de poupança 2028-2029'!G31*25*0.9</f>
        <v>35.6702625</v>
      </c>
      <c r="H28" s="213">
        <f>'Resumo de poupança 2028-2029'!H31*25*0.9</f>
        <v>20.409165000000002</v>
      </c>
      <c r="I28" s="213">
        <f>'Resumo de poupança 2028-2029'!I31*25</f>
        <v>473.43519250000003</v>
      </c>
      <c r="J28" s="261">
        <f t="shared" ref="J28:J33" si="31">C28+D28</f>
        <v>265.33772937499998</v>
      </c>
      <c r="K28" s="246">
        <f t="shared" ref="K28:K33" si="32">E28+F28+G28</f>
        <v>160.25208749999999</v>
      </c>
    </row>
    <row r="29" spans="1:11" x14ac:dyDescent="0.25">
      <c r="A29" s="243" t="s">
        <v>209</v>
      </c>
      <c r="B29" s="133" t="s">
        <v>13</v>
      </c>
      <c r="C29" s="213">
        <v>0</v>
      </c>
      <c r="D29" s="213">
        <v>0</v>
      </c>
      <c r="E29" s="213">
        <v>0</v>
      </c>
      <c r="F29" s="213">
        <v>0</v>
      </c>
      <c r="G29" s="213">
        <v>0</v>
      </c>
      <c r="H29" s="213">
        <v>0</v>
      </c>
      <c r="I29" s="213">
        <f>SUM(C29:H29)</f>
        <v>0</v>
      </c>
      <c r="J29" s="261">
        <f t="shared" si="31"/>
        <v>0</v>
      </c>
      <c r="K29" s="246">
        <f t="shared" si="32"/>
        <v>0</v>
      </c>
    </row>
    <row r="30" spans="1:11" x14ac:dyDescent="0.25">
      <c r="A30" s="243" t="s">
        <v>214</v>
      </c>
      <c r="B30" s="133" t="s">
        <v>13</v>
      </c>
      <c r="C30" s="213">
        <f>-'Poupança 2028-2029'!C84*25*(1.0175^12.5)</f>
        <v>7.7635479746334877</v>
      </c>
      <c r="D30" s="213">
        <f>-'Poupança 2028-2029'!D84*25*(1.0175^12.5)</f>
        <v>6.2108383797067903</v>
      </c>
      <c r="E30" s="213">
        <f>-'Poupança 2028-2029'!E84*25*(1.0175^12.5)</f>
        <v>4.658128784780093</v>
      </c>
      <c r="F30" s="213">
        <f>-'Poupança 2028-2029'!F84*25*(1.0175^12.5)</f>
        <v>4.658128784780093</v>
      </c>
      <c r="G30" s="213">
        <f>-'Poupança 2028-2029'!G84*25*(1.0175^12.5)</f>
        <v>3.1054191898533952</v>
      </c>
      <c r="H30" s="213">
        <f>-'Poupança 2028-2029'!H84*25*(1.0175^12.5)</f>
        <v>3.1054191898533952</v>
      </c>
      <c r="I30" s="213">
        <f t="shared" ref="I30:I33" si="33">SUM(C30:H30)</f>
        <v>29.501482303607258</v>
      </c>
      <c r="J30" s="261">
        <f t="shared" si="31"/>
        <v>13.974386354340279</v>
      </c>
      <c r="K30" s="246">
        <f t="shared" si="32"/>
        <v>12.421676759413581</v>
      </c>
    </row>
    <row r="31" spans="1:11" x14ac:dyDescent="0.25">
      <c r="A31" s="243" t="s">
        <v>215</v>
      </c>
      <c r="B31" s="133" t="s">
        <v>13</v>
      </c>
      <c r="C31" s="213">
        <f>-'Poupança 2028-2029'!C82*25*1.0175^12.5</f>
        <v>7.5711942714757043</v>
      </c>
      <c r="D31" s="213">
        <f>-'Poupança 2028-2029'!D82*25*1.0175^12.5</f>
        <v>5.8571361399497368</v>
      </c>
      <c r="E31" s="213">
        <f>-'Poupança 2028-2029'!E82</f>
        <v>0</v>
      </c>
      <c r="F31" s="213">
        <f>-'Poupança 2028-2029'!F82</f>
        <v>0</v>
      </c>
      <c r="G31" s="213">
        <f>-'Poupança 2028-2029'!G82</f>
        <v>0</v>
      </c>
      <c r="H31" s="213">
        <f>-'Poupança 2028-2029'!H82</f>
        <v>0</v>
      </c>
      <c r="I31" s="213">
        <f t="shared" si="33"/>
        <v>13.428330411425442</v>
      </c>
      <c r="J31" s="261">
        <f t="shared" si="31"/>
        <v>13.428330411425442</v>
      </c>
      <c r="K31" s="246">
        <f t="shared" si="32"/>
        <v>0</v>
      </c>
    </row>
    <row r="32" spans="1:11" x14ac:dyDescent="0.25">
      <c r="A32" s="243" t="s">
        <v>212</v>
      </c>
      <c r="B32" s="133" t="s">
        <v>13</v>
      </c>
      <c r="C32" s="213">
        <f t="shared" ref="C32:H32" si="34">C29+C30+C31</f>
        <v>15.334742246109192</v>
      </c>
      <c r="D32" s="213">
        <f t="shared" si="34"/>
        <v>12.067974519656527</v>
      </c>
      <c r="E32" s="213">
        <f t="shared" si="34"/>
        <v>4.658128784780093</v>
      </c>
      <c r="F32" s="213">
        <f t="shared" si="34"/>
        <v>4.658128784780093</v>
      </c>
      <c r="G32" s="213">
        <f t="shared" si="34"/>
        <v>3.1054191898533952</v>
      </c>
      <c r="H32" s="213">
        <f t="shared" si="34"/>
        <v>3.1054191898533952</v>
      </c>
      <c r="I32" s="213">
        <f t="shared" si="33"/>
        <v>42.929812715032682</v>
      </c>
      <c r="J32" s="261">
        <f t="shared" si="31"/>
        <v>27.402716765765717</v>
      </c>
      <c r="K32" s="246">
        <f t="shared" si="32"/>
        <v>12.421676759413581</v>
      </c>
    </row>
    <row r="33" spans="1:12" x14ac:dyDescent="0.25">
      <c r="A33" s="243" t="s">
        <v>203</v>
      </c>
      <c r="B33" s="133" t="s">
        <v>13</v>
      </c>
      <c r="C33" s="213">
        <f t="shared" ref="C33:H33" si="35">(C3*C28)/1000-C32</f>
        <v>9.3423755163094757</v>
      </c>
      <c r="D33" s="213">
        <f t="shared" si="35"/>
        <v>16.497060287295728</v>
      </c>
      <c r="E33" s="213">
        <f t="shared" si="35"/>
        <v>8.7067222901623094</v>
      </c>
      <c r="F33" s="213">
        <f t="shared" si="35"/>
        <v>9.774233928287611</v>
      </c>
      <c r="G33" s="213">
        <f t="shared" si="35"/>
        <v>9.8948334014218631</v>
      </c>
      <c r="H33" s="213">
        <f t="shared" si="35"/>
        <v>4.3626091181429469</v>
      </c>
      <c r="I33" s="213">
        <f t="shared" si="33"/>
        <v>58.577834541619943</v>
      </c>
      <c r="J33" s="261">
        <f t="shared" si="31"/>
        <v>25.839435803605205</v>
      </c>
      <c r="K33" s="246">
        <f t="shared" si="32"/>
        <v>28.375789619871782</v>
      </c>
    </row>
    <row r="34" spans="1:12" x14ac:dyDescent="0.25">
      <c r="A34" s="243" t="s">
        <v>204</v>
      </c>
      <c r="B34" s="133" t="s">
        <v>14</v>
      </c>
      <c r="C34" s="213">
        <f>C33*1000000/(C$9*1000+C$17*1000)</f>
        <v>11.165076458911997</v>
      </c>
      <c r="D34" s="213">
        <f t="shared" ref="D34:I34" si="36">D33*1000000/(D$9*1000+D$17*1000)</f>
        <v>35.813425485415436</v>
      </c>
      <c r="E34" s="213">
        <f t="shared" si="36"/>
        <v>24.402379337196198</v>
      </c>
      <c r="F34" s="213">
        <f t="shared" si="36"/>
        <v>29.300593900752837</v>
      </c>
      <c r="G34" s="213">
        <f t="shared" si="36"/>
        <v>62.879269987674533</v>
      </c>
      <c r="H34" s="213">
        <f t="shared" si="36"/>
        <v>49.663303384649012</v>
      </c>
      <c r="I34" s="213">
        <f t="shared" si="36"/>
        <v>26.233056708490412</v>
      </c>
      <c r="J34" s="261">
        <f t="shared" ref="J34:K34" si="37">J33*1000000/(J$9*1000)</f>
        <v>21.791179442647387</v>
      </c>
      <c r="K34" s="246">
        <f t="shared" si="37"/>
        <v>41.71713937896012</v>
      </c>
    </row>
    <row r="35" spans="1:12" x14ac:dyDescent="0.25">
      <c r="A35" s="249" t="s">
        <v>238</v>
      </c>
      <c r="B35" s="250" t="s">
        <v>14</v>
      </c>
      <c r="C35" s="251">
        <f>C24-C34</f>
        <v>127.7588868046477</v>
      </c>
      <c r="D35" s="251">
        <f t="shared" ref="D35:K35" si="38">D24-D34</f>
        <v>100.79085819094975</v>
      </c>
      <c r="E35" s="251">
        <f t="shared" si="38"/>
        <v>127.66680442581706</v>
      </c>
      <c r="F35" s="251">
        <f t="shared" si="38"/>
        <v>119.70438499859733</v>
      </c>
      <c r="G35" s="251">
        <f t="shared" si="38"/>
        <v>90.350123203845968</v>
      </c>
      <c r="H35" s="251">
        <f t="shared" si="38"/>
        <v>108.98902519900007</v>
      </c>
      <c r="I35" s="251">
        <f t="shared" si="38"/>
        <v>116.72864237661148</v>
      </c>
      <c r="J35" s="262">
        <f t="shared" si="38"/>
        <v>116.3137660228338</v>
      </c>
      <c r="K35" s="252">
        <f t="shared" si="38"/>
        <v>111.57660240979575</v>
      </c>
    </row>
    <row r="36" spans="1:12" x14ac:dyDescent="0.25">
      <c r="A36" s="280" t="s">
        <v>239</v>
      </c>
      <c r="B36" s="281"/>
      <c r="C36" s="260">
        <f>C35/(1.0175^12.5)</f>
        <v>102.85156285992353</v>
      </c>
      <c r="D36" s="260">
        <f t="shared" ref="D36:I36" si="39">D35/(1.0175^12.5)</f>
        <v>81.141105297694139</v>
      </c>
      <c r="E36" s="260">
        <f t="shared" si="39"/>
        <v>102.77743246624631</v>
      </c>
      <c r="F36" s="260">
        <f t="shared" si="39"/>
        <v>96.367332138055488</v>
      </c>
      <c r="G36" s="260">
        <f t="shared" si="39"/>
        <v>72.735851168704329</v>
      </c>
      <c r="H36" s="260">
        <f t="shared" si="39"/>
        <v>87.74099287071239</v>
      </c>
      <c r="I36" s="260">
        <f t="shared" si="39"/>
        <v>93.971727519113259</v>
      </c>
      <c r="J36" s="260">
        <f t="shared" ref="J36" si="40">J35/(1.0175^12.5)</f>
        <v>93.637733677691443</v>
      </c>
      <c r="K36" s="260">
        <f t="shared" ref="K36" si="41">K35/(1.0175^12.5)</f>
        <v>89.824107140156514</v>
      </c>
    </row>
    <row r="37" spans="1:12" x14ac:dyDescent="0.25">
      <c r="A37" s="243"/>
      <c r="B37" s="133"/>
      <c r="C37" s="133"/>
      <c r="D37" s="133"/>
      <c r="E37" s="133"/>
      <c r="F37" s="133"/>
      <c r="G37" s="133"/>
      <c r="H37" s="133"/>
      <c r="I37" s="273"/>
      <c r="J37" s="2"/>
      <c r="K37" s="2"/>
    </row>
    <row r="38" spans="1:12" x14ac:dyDescent="0.25">
      <c r="A38" s="293" t="s">
        <v>217</v>
      </c>
      <c r="B38" s="294"/>
      <c r="C38" s="294"/>
      <c r="D38" s="294"/>
      <c r="E38" s="294"/>
      <c r="F38" s="294"/>
      <c r="G38" s="294"/>
      <c r="H38" s="294"/>
      <c r="I38" s="295"/>
      <c r="J38" s="2"/>
      <c r="K38" s="2"/>
    </row>
    <row r="39" spans="1:12" x14ac:dyDescent="0.25">
      <c r="A39" s="296" t="s">
        <v>17</v>
      </c>
      <c r="B39" s="297" t="s">
        <v>9</v>
      </c>
      <c r="C39" s="151">
        <f t="shared" ref="C39:H39" si="42">C9</f>
        <v>779.70799999999997</v>
      </c>
      <c r="D39" s="151">
        <f t="shared" si="42"/>
        <v>406.06700000000001</v>
      </c>
      <c r="E39" s="151">
        <f t="shared" si="42"/>
        <v>290.738</v>
      </c>
      <c r="F39" s="151">
        <f t="shared" si="42"/>
        <v>268.94400000000002</v>
      </c>
      <c r="G39" s="151">
        <f t="shared" si="42"/>
        <v>120.51300000000001</v>
      </c>
      <c r="H39" s="151">
        <f t="shared" si="42"/>
        <v>68.691999999999993</v>
      </c>
      <c r="I39" s="271">
        <f>SUM(C39:H39)</f>
        <v>1934.662</v>
      </c>
      <c r="J39" s="2"/>
      <c r="K39" s="2"/>
    </row>
    <row r="40" spans="1:12" x14ac:dyDescent="0.25">
      <c r="A40" s="296" t="s">
        <v>162</v>
      </c>
      <c r="B40" s="297" t="s">
        <v>9</v>
      </c>
      <c r="C40" s="151">
        <f>C16</f>
        <v>106.64692500000001</v>
      </c>
      <c r="D40" s="151">
        <f t="shared" ref="D40:H40" si="43">D16</f>
        <v>66.431706875000003</v>
      </c>
      <c r="E40" s="151">
        <f t="shared" si="43"/>
        <v>69.313500000000005</v>
      </c>
      <c r="F40" s="151">
        <f t="shared" si="43"/>
        <v>75.965625000000003</v>
      </c>
      <c r="G40" s="151">
        <f t="shared" si="43"/>
        <v>41.596312500000003</v>
      </c>
      <c r="H40" s="151">
        <f t="shared" si="43"/>
        <v>23.799824999999998</v>
      </c>
      <c r="I40" s="271">
        <f>SUM(C40:H40)</f>
        <v>383.75389437500002</v>
      </c>
      <c r="J40" s="2"/>
      <c r="K40" s="2"/>
    </row>
    <row r="41" spans="1:12" x14ac:dyDescent="0.25">
      <c r="A41" s="296" t="s">
        <v>163</v>
      </c>
      <c r="B41" s="297" t="s">
        <v>9</v>
      </c>
      <c r="C41" s="151">
        <f>C28</f>
        <v>125.44570499999999</v>
      </c>
      <c r="D41" s="151">
        <f t="shared" ref="D41:H41" si="44">D28</f>
        <v>139.89202437500001</v>
      </c>
      <c r="E41" s="151">
        <f t="shared" si="44"/>
        <v>59.438699999999997</v>
      </c>
      <c r="F41" s="151">
        <f t="shared" si="44"/>
        <v>65.143124999999998</v>
      </c>
      <c r="G41" s="151">
        <f t="shared" si="44"/>
        <v>35.6702625</v>
      </c>
      <c r="H41" s="151">
        <f t="shared" si="44"/>
        <v>20.409165000000002</v>
      </c>
      <c r="I41" s="271">
        <f>SUM(C41:H41)</f>
        <v>445.99898187499991</v>
      </c>
      <c r="J41" s="2"/>
      <c r="K41" s="2"/>
    </row>
    <row r="42" spans="1:12" x14ac:dyDescent="0.25">
      <c r="A42" s="293" t="s">
        <v>218</v>
      </c>
      <c r="B42" s="297" t="s">
        <v>9</v>
      </c>
      <c r="C42" s="178">
        <f t="shared" ref="C42:I42" si="45">SUM(C39:C41)</f>
        <v>1011.80063</v>
      </c>
      <c r="D42" s="178">
        <f t="shared" si="45"/>
        <v>612.39073125000004</v>
      </c>
      <c r="E42" s="178">
        <f t="shared" si="45"/>
        <v>419.49020000000002</v>
      </c>
      <c r="F42" s="178">
        <f t="shared" si="45"/>
        <v>410.05275</v>
      </c>
      <c r="G42" s="178">
        <f t="shared" si="45"/>
        <v>197.77957500000002</v>
      </c>
      <c r="H42" s="178">
        <f t="shared" si="45"/>
        <v>112.90098999999999</v>
      </c>
      <c r="I42" s="154">
        <f t="shared" si="45"/>
        <v>2764.4148762499999</v>
      </c>
      <c r="J42" s="404"/>
      <c r="K42" s="2"/>
    </row>
    <row r="43" spans="1:12" x14ac:dyDescent="0.25">
      <c r="A43" s="296"/>
      <c r="B43" s="136"/>
      <c r="C43" s="136"/>
      <c r="D43" s="136"/>
      <c r="E43" s="136"/>
      <c r="F43" s="136"/>
      <c r="G43" s="136"/>
      <c r="H43" s="136"/>
      <c r="I43" s="271"/>
      <c r="J43" s="2"/>
      <c r="K43" s="2"/>
    </row>
    <row r="44" spans="1:12" x14ac:dyDescent="0.25">
      <c r="A44" s="293" t="s">
        <v>219</v>
      </c>
      <c r="B44" s="294"/>
      <c r="C44" s="294"/>
      <c r="D44" s="294"/>
      <c r="E44" s="294"/>
      <c r="F44" s="294"/>
      <c r="G44" s="294"/>
      <c r="H44" s="294"/>
      <c r="I44" s="295"/>
      <c r="J44" s="2"/>
      <c r="K44" s="2"/>
    </row>
    <row r="45" spans="1:12" x14ac:dyDescent="0.25">
      <c r="A45" s="296" t="s">
        <v>17</v>
      </c>
      <c r="B45" s="297" t="s">
        <v>240</v>
      </c>
      <c r="C45" s="151">
        <f t="shared" ref="C45:H45" si="46">C11</f>
        <v>21.656442911806408</v>
      </c>
      <c r="D45" s="151">
        <f t="shared" si="46"/>
        <v>13.6835759219304</v>
      </c>
      <c r="E45" s="151">
        <f t="shared" si="46"/>
        <v>9.6757057646639986</v>
      </c>
      <c r="F45" s="151">
        <f t="shared" si="46"/>
        <v>6.7840454422674608</v>
      </c>
      <c r="G45" s="151">
        <f t="shared" si="46"/>
        <v>15.180899355243609</v>
      </c>
      <c r="H45" s="151">
        <f t="shared" si="46"/>
        <v>8.3225624544246042</v>
      </c>
      <c r="I45" s="271">
        <f>SUM(C45:H45)</f>
        <v>75.303231850336473</v>
      </c>
      <c r="J45" s="2"/>
      <c r="K45" s="2"/>
    </row>
    <row r="46" spans="1:12" x14ac:dyDescent="0.25">
      <c r="A46" s="296" t="s">
        <v>162</v>
      </c>
      <c r="B46" s="297" t="s">
        <v>240</v>
      </c>
      <c r="C46" s="151">
        <f>C22</f>
        <v>25.116295280830954</v>
      </c>
      <c r="D46" s="151">
        <f t="shared" ref="D46:H46" si="47">D22</f>
        <v>15.611671077037666</v>
      </c>
      <c r="E46" s="151">
        <f t="shared" si="47"/>
        <v>14.094239497020196</v>
      </c>
      <c r="F46" s="151">
        <f t="shared" si="47"/>
        <v>15.784829892430304</v>
      </c>
      <c r="G46" s="151">
        <f t="shared" si="47"/>
        <v>13.416396272086626</v>
      </c>
      <c r="H46" s="151">
        <f t="shared" si="47"/>
        <v>7.5638209963761414</v>
      </c>
      <c r="I46" s="271">
        <f>SUM(C46:H46)</f>
        <v>91.587253015781897</v>
      </c>
      <c r="J46" s="2"/>
      <c r="K46" s="2"/>
    </row>
    <row r="47" spans="1:12" x14ac:dyDescent="0.25">
      <c r="A47" s="296" t="s">
        <v>163</v>
      </c>
      <c r="B47" s="297" t="s">
        <v>240</v>
      </c>
      <c r="C47" s="151">
        <f>C33</f>
        <v>9.3423755163094757</v>
      </c>
      <c r="D47" s="151">
        <f t="shared" ref="D47:H47" si="48">D33</f>
        <v>16.497060287295728</v>
      </c>
      <c r="E47" s="151">
        <f t="shared" si="48"/>
        <v>8.7067222901623094</v>
      </c>
      <c r="F47" s="151">
        <f t="shared" si="48"/>
        <v>9.774233928287611</v>
      </c>
      <c r="G47" s="151">
        <f t="shared" si="48"/>
        <v>9.8948334014218631</v>
      </c>
      <c r="H47" s="151">
        <f t="shared" si="48"/>
        <v>4.3626091181429469</v>
      </c>
      <c r="I47" s="271">
        <f>SUM(C47:H47)</f>
        <v>58.577834541619943</v>
      </c>
      <c r="J47" s="2"/>
      <c r="K47" s="2"/>
      <c r="L47" s="91"/>
    </row>
    <row r="48" spans="1:12" x14ac:dyDescent="0.25">
      <c r="A48" s="293" t="s">
        <v>221</v>
      </c>
      <c r="B48" s="297" t="s">
        <v>240</v>
      </c>
      <c r="C48" s="178">
        <f t="shared" ref="C48:I48" si="49">SUM(C45:C47)</f>
        <v>56.115113708946836</v>
      </c>
      <c r="D48" s="178">
        <f t="shared" si="49"/>
        <v>45.792307286263792</v>
      </c>
      <c r="E48" s="178">
        <f t="shared" si="49"/>
        <v>32.476667551846504</v>
      </c>
      <c r="F48" s="178">
        <f t="shared" si="49"/>
        <v>32.343109262985379</v>
      </c>
      <c r="G48" s="178">
        <f t="shared" si="49"/>
        <v>38.492129028752096</v>
      </c>
      <c r="H48" s="178">
        <f t="shared" si="49"/>
        <v>20.248992568943692</v>
      </c>
      <c r="I48" s="154">
        <f t="shared" si="49"/>
        <v>225.46831940773831</v>
      </c>
      <c r="J48" s="2"/>
      <c r="K48" s="2"/>
      <c r="L48" s="401"/>
    </row>
    <row r="49" spans="1:12" x14ac:dyDescent="0.25">
      <c r="A49" s="243"/>
      <c r="B49" s="133"/>
      <c r="C49" s="133"/>
      <c r="D49" s="133"/>
      <c r="E49" s="133"/>
      <c r="F49" s="133"/>
      <c r="G49" s="133"/>
      <c r="H49" s="133"/>
      <c r="I49" s="273"/>
      <c r="J49" s="2"/>
      <c r="K49" s="2"/>
    </row>
    <row r="50" spans="1:12" x14ac:dyDescent="0.25">
      <c r="A50" s="155" t="s">
        <v>222</v>
      </c>
      <c r="B50" s="94"/>
      <c r="C50" s="94"/>
      <c r="D50" s="94"/>
      <c r="E50" s="94"/>
      <c r="F50" s="94"/>
      <c r="G50" s="94"/>
      <c r="H50" s="94"/>
      <c r="I50" s="267"/>
      <c r="J50" s="2"/>
      <c r="K50" s="2"/>
    </row>
    <row r="51" spans="1:12" x14ac:dyDescent="0.25">
      <c r="A51" s="263" t="s">
        <v>17</v>
      </c>
      <c r="B51" s="133" t="s">
        <v>223</v>
      </c>
      <c r="C51" s="265">
        <f>675*C39</f>
        <v>526302.9</v>
      </c>
      <c r="D51" s="265">
        <f t="shared" ref="D51:H51" si="50">675*D39</f>
        <v>274095.22499999998</v>
      </c>
      <c r="E51" s="265">
        <f t="shared" si="50"/>
        <v>196248.15</v>
      </c>
      <c r="F51" s="265">
        <f t="shared" si="50"/>
        <v>181537.2</v>
      </c>
      <c r="G51" s="265">
        <f t="shared" si="50"/>
        <v>81346.275000000009</v>
      </c>
      <c r="H51" s="265">
        <f t="shared" si="50"/>
        <v>46367.1</v>
      </c>
      <c r="I51" s="268">
        <f>SUM(C51:H51)</f>
        <v>1305896.8500000001</v>
      </c>
      <c r="J51" s="2"/>
      <c r="K51" s="2"/>
    </row>
    <row r="52" spans="1:12" x14ac:dyDescent="0.25">
      <c r="A52" s="263" t="s">
        <v>224</v>
      </c>
      <c r="B52" s="133" t="s">
        <v>223</v>
      </c>
      <c r="C52" s="265">
        <f t="shared" ref="C52:H53" si="51">675*C40</f>
        <v>71986.674375000002</v>
      </c>
      <c r="D52" s="265">
        <f t="shared" si="51"/>
        <v>44841.402140625003</v>
      </c>
      <c r="E52" s="265">
        <f t="shared" si="51"/>
        <v>46786.612500000003</v>
      </c>
      <c r="F52" s="265">
        <f t="shared" si="51"/>
        <v>51276.796875</v>
      </c>
      <c r="G52" s="265">
        <f t="shared" si="51"/>
        <v>28077.510937500003</v>
      </c>
      <c r="H52" s="265">
        <f t="shared" si="51"/>
        <v>16064.881874999999</v>
      </c>
      <c r="I52" s="268">
        <f>SUM(C52:H52)</f>
        <v>259033.87870312497</v>
      </c>
      <c r="J52" s="2"/>
      <c r="K52" s="2"/>
    </row>
    <row r="53" spans="1:12" x14ac:dyDescent="0.25">
      <c r="A53" s="263" t="s">
        <v>225</v>
      </c>
      <c r="B53" s="133" t="s">
        <v>223</v>
      </c>
      <c r="C53" s="265">
        <f t="shared" si="51"/>
        <v>84675.850874999989</v>
      </c>
      <c r="D53" s="265">
        <f t="shared" si="51"/>
        <v>94427.116453125011</v>
      </c>
      <c r="E53" s="265">
        <f t="shared" si="51"/>
        <v>40121.122499999998</v>
      </c>
      <c r="F53" s="265">
        <f t="shared" si="51"/>
        <v>43971.609375</v>
      </c>
      <c r="G53" s="265">
        <f t="shared" si="51"/>
        <v>24077.427187500001</v>
      </c>
      <c r="H53" s="265">
        <f t="shared" si="51"/>
        <v>13776.186375000001</v>
      </c>
      <c r="I53" s="268">
        <f>SUM(C53:H53)</f>
        <v>301049.31276562496</v>
      </c>
      <c r="J53" s="2"/>
      <c r="K53" s="2"/>
    </row>
    <row r="54" spans="1:12" x14ac:dyDescent="0.25">
      <c r="A54" s="155" t="s">
        <v>226</v>
      </c>
      <c r="B54" s="133" t="s">
        <v>223</v>
      </c>
      <c r="C54" s="264">
        <f t="shared" ref="C54:I54" si="52">SUM(C51:C53)</f>
        <v>682965.42525000009</v>
      </c>
      <c r="D54" s="264">
        <f t="shared" si="52"/>
        <v>413363.74359375</v>
      </c>
      <c r="E54" s="264">
        <f t="shared" si="52"/>
        <v>283155.88500000001</v>
      </c>
      <c r="F54" s="264">
        <f t="shared" si="52"/>
        <v>276785.60625000001</v>
      </c>
      <c r="G54" s="264">
        <f t="shared" si="52"/>
        <v>133501.21312500001</v>
      </c>
      <c r="H54" s="264">
        <f t="shared" si="52"/>
        <v>76208.168250000002</v>
      </c>
      <c r="I54" s="269">
        <f t="shared" si="52"/>
        <v>1865980.0414687502</v>
      </c>
      <c r="J54" s="2"/>
      <c r="K54" s="2"/>
      <c r="L54" s="91"/>
    </row>
    <row r="55" spans="1:12" x14ac:dyDescent="0.25">
      <c r="A55" s="155"/>
      <c r="B55" s="133"/>
      <c r="C55" s="264"/>
      <c r="D55" s="264"/>
      <c r="E55" s="264"/>
      <c r="F55" s="264"/>
      <c r="G55" s="264"/>
      <c r="H55" s="264"/>
      <c r="I55" s="269"/>
      <c r="J55" s="2"/>
      <c r="K55" s="2"/>
    </row>
    <row r="56" spans="1:12" x14ac:dyDescent="0.25">
      <c r="A56" s="155" t="s">
        <v>227</v>
      </c>
      <c r="B56" s="133"/>
      <c r="C56" s="264"/>
      <c r="D56" s="264"/>
      <c r="E56" s="264"/>
      <c r="F56" s="264"/>
      <c r="G56" s="264"/>
      <c r="H56" s="264"/>
      <c r="I56" s="269"/>
      <c r="J56" s="2"/>
      <c r="K56" s="2"/>
    </row>
    <row r="57" spans="1:12" x14ac:dyDescent="0.25">
      <c r="A57" s="150" t="s">
        <v>17</v>
      </c>
      <c r="B57" s="270" t="s">
        <v>13</v>
      </c>
      <c r="C57" s="151">
        <f>'Custos de CO2'!$J$20*C39/1000</f>
        <v>34.35465804902401</v>
      </c>
      <c r="D57" s="151">
        <f>'Custos de CO2'!$J$20*D39/1000</f>
        <v>17.891688850176003</v>
      </c>
      <c r="E57" s="151">
        <f>'Custos de CO2'!$J$20*E39/1000</f>
        <v>12.810186084864002</v>
      </c>
      <c r="F57" s="151">
        <f>'Custos de CO2'!$J$20*F39/1000</f>
        <v>11.849922220032004</v>
      </c>
      <c r="G57" s="151">
        <f>'Custos de CO2'!$J$20*G39/1000</f>
        <v>5.3099146160640007</v>
      </c>
      <c r="H57" s="151">
        <f>'Custos de CO2'!$J$20*H39/1000</f>
        <v>3.0266332661760007</v>
      </c>
      <c r="I57" s="271">
        <f>SUM(C57:H57)</f>
        <v>85.243003086336032</v>
      </c>
      <c r="J57" s="2"/>
      <c r="K57" s="2"/>
    </row>
    <row r="58" spans="1:12" x14ac:dyDescent="0.25">
      <c r="A58" s="150" t="s">
        <v>162</v>
      </c>
      <c r="B58" s="270" t="s">
        <v>13</v>
      </c>
      <c r="C58" s="151">
        <f>'Custos de CO2'!$J$20*C40/1000</f>
        <v>4.6989624838464019</v>
      </c>
      <c r="D58" s="151">
        <f>'Custos de CO2'!$J$20*D40/1000</f>
        <v>2.9270426535364811</v>
      </c>
      <c r="E58" s="151">
        <f>'Custos de CO2'!$J$20*E40/1000</f>
        <v>3.054017132928001</v>
      </c>
      <c r="F58" s="151">
        <f>'Custos de CO2'!$J$20*F40/1000</f>
        <v>3.3471159336000009</v>
      </c>
      <c r="G58" s="151">
        <f>'Custos de CO2'!$J$20*G40/1000</f>
        <v>1.8327721301280004</v>
      </c>
      <c r="H58" s="151">
        <f>'Custos de CO2'!$J$20*H40/1000</f>
        <v>1.0486423757376</v>
      </c>
      <c r="I58" s="271">
        <f>SUM(C58:H58)</f>
        <v>16.908552709776487</v>
      </c>
      <c r="J58" s="2"/>
      <c r="K58" s="2"/>
    </row>
    <row r="59" spans="1:12" x14ac:dyDescent="0.25">
      <c r="A59" s="150" t="s">
        <v>163</v>
      </c>
      <c r="B59" s="270" t="s">
        <v>13</v>
      </c>
      <c r="C59" s="151">
        <f>'Custos de CO2'!$J$20*C41/1000</f>
        <v>5.5272541759142415</v>
      </c>
      <c r="D59" s="151">
        <f>'Custos de CO2'!$J$20*D41/1000</f>
        <v>6.1637724137611221</v>
      </c>
      <c r="E59" s="151">
        <f>'Custos de CO2'!$J$20*E41/1000</f>
        <v>2.6189242811136006</v>
      </c>
      <c r="F59" s="151">
        <f>'Custos de CO2'!$J$20*F41/1000</f>
        <v>2.8702665403200007</v>
      </c>
      <c r="G59" s="151">
        <f>'Custos de CO2'!$J$20*G41/1000</f>
        <v>1.5716648677536005</v>
      </c>
      <c r="H59" s="151">
        <f>'Custos de CO2'!$J$20*H41/1000</f>
        <v>0.8992467496051203</v>
      </c>
      <c r="I59" s="271">
        <f>SUM(C59:H59)</f>
        <v>19.651129028467683</v>
      </c>
      <c r="J59" s="2"/>
      <c r="K59" s="2"/>
    </row>
    <row r="60" spans="1:12" x14ac:dyDescent="0.25">
      <c r="A60" s="155" t="s">
        <v>228</v>
      </c>
      <c r="B60" s="270" t="s">
        <v>13</v>
      </c>
      <c r="C60" s="178">
        <f t="shared" ref="C60:I60" si="53">SUM(C57:C59)</f>
        <v>44.580874708784656</v>
      </c>
      <c r="D60" s="178">
        <f t="shared" si="53"/>
        <v>26.982503917473608</v>
      </c>
      <c r="E60" s="178">
        <f t="shared" si="53"/>
        <v>18.483127498905603</v>
      </c>
      <c r="F60" s="178">
        <f t="shared" si="53"/>
        <v>18.067304693952007</v>
      </c>
      <c r="G60" s="178">
        <f t="shared" si="53"/>
        <v>8.7143516139456008</v>
      </c>
      <c r="H60" s="178">
        <f t="shared" si="53"/>
        <v>4.9745223915187209</v>
      </c>
      <c r="I60" s="154">
        <f t="shared" si="53"/>
        <v>121.8026848245802</v>
      </c>
      <c r="J60" s="2"/>
      <c r="K60" s="2"/>
    </row>
    <row r="61" spans="1:12" x14ac:dyDescent="0.25">
      <c r="A61" s="272"/>
      <c r="B61" s="133"/>
      <c r="C61" s="264"/>
      <c r="D61" s="264"/>
      <c r="E61" s="264"/>
      <c r="F61" s="264"/>
      <c r="G61" s="264"/>
      <c r="H61" s="264"/>
      <c r="I61" s="269"/>
      <c r="J61" s="2"/>
      <c r="K61" s="2"/>
    </row>
    <row r="62" spans="1:12" x14ac:dyDescent="0.25">
      <c r="A62" s="155" t="s">
        <v>229</v>
      </c>
      <c r="B62" s="133"/>
      <c r="C62" s="133"/>
      <c r="D62" s="133"/>
      <c r="E62" s="133"/>
      <c r="F62" s="133"/>
      <c r="G62" s="133"/>
      <c r="H62" s="133"/>
      <c r="I62" s="273"/>
      <c r="J62" s="2"/>
      <c r="K62" s="2"/>
    </row>
    <row r="63" spans="1:12" x14ac:dyDescent="0.25">
      <c r="A63" s="150" t="s">
        <v>17</v>
      </c>
      <c r="B63" s="133" t="s">
        <v>223</v>
      </c>
      <c r="C63" s="265">
        <f>0.20468*C39*1000</f>
        <v>159590.63344000001</v>
      </c>
      <c r="D63" s="265">
        <f t="shared" ref="D63:F63" si="54">0.20468*D39*1000</f>
        <v>83113.793560000006</v>
      </c>
      <c r="E63" s="265">
        <f t="shared" si="54"/>
        <v>59508.253840000005</v>
      </c>
      <c r="F63" s="265">
        <f t="shared" si="54"/>
        <v>55047.457920000008</v>
      </c>
      <c r="G63" s="265">
        <v>0</v>
      </c>
      <c r="H63" s="265">
        <v>0</v>
      </c>
      <c r="I63" s="268">
        <f>SUM(C63:H63)</f>
        <v>357260.13876000006</v>
      </c>
      <c r="J63" s="2"/>
      <c r="K63" s="2"/>
    </row>
    <row r="64" spans="1:12" x14ac:dyDescent="0.25">
      <c r="A64" s="150" t="s">
        <v>162</v>
      </c>
      <c r="B64" s="133" t="s">
        <v>223</v>
      </c>
      <c r="C64" s="265">
        <f t="shared" ref="C64:F65" si="55">0.20468*C40*1000</f>
        <v>21828.492609000001</v>
      </c>
      <c r="D64" s="265">
        <f t="shared" si="55"/>
        <v>13597.241763175001</v>
      </c>
      <c r="E64" s="265">
        <f t="shared" si="55"/>
        <v>14187.08718</v>
      </c>
      <c r="F64" s="265">
        <f t="shared" si="55"/>
        <v>15548.644125000001</v>
      </c>
      <c r="G64" s="265">
        <v>0</v>
      </c>
      <c r="H64" s="265">
        <v>0</v>
      </c>
      <c r="I64" s="268">
        <f>SUM(C64:H64)</f>
        <v>65161.465677175001</v>
      </c>
      <c r="J64" s="2"/>
      <c r="K64" s="2"/>
    </row>
    <row r="65" spans="1:11" x14ac:dyDescent="0.25">
      <c r="A65" s="150" t="s">
        <v>163</v>
      </c>
      <c r="B65" s="133" t="s">
        <v>223</v>
      </c>
      <c r="C65" s="265">
        <f t="shared" si="55"/>
        <v>25676.226899400001</v>
      </c>
      <c r="D65" s="265">
        <f t="shared" si="55"/>
        <v>28633.099549075003</v>
      </c>
      <c r="E65" s="265">
        <f t="shared" si="55"/>
        <v>12165.913115999998</v>
      </c>
      <c r="F65" s="265">
        <f t="shared" si="55"/>
        <v>13333.494825</v>
      </c>
      <c r="G65" s="265">
        <v>0</v>
      </c>
      <c r="H65" s="265">
        <v>0</v>
      </c>
      <c r="I65" s="268">
        <f>SUM(C65:H65)</f>
        <v>79808.734389475008</v>
      </c>
      <c r="J65" s="2"/>
      <c r="K65" s="2"/>
    </row>
    <row r="66" spans="1:11" x14ac:dyDescent="0.25">
      <c r="A66" s="155" t="s">
        <v>230</v>
      </c>
      <c r="B66" s="133" t="s">
        <v>223</v>
      </c>
      <c r="C66" s="264">
        <f t="shared" ref="C66:I66" si="56">SUM(C63:C65)</f>
        <v>207095.35294840002</v>
      </c>
      <c r="D66" s="264">
        <f t="shared" si="56"/>
        <v>125344.13487225001</v>
      </c>
      <c r="E66" s="264">
        <f t="shared" si="56"/>
        <v>85861.254136000003</v>
      </c>
      <c r="F66" s="264">
        <f t="shared" si="56"/>
        <v>83929.596870000008</v>
      </c>
      <c r="G66" s="264">
        <f t="shared" si="56"/>
        <v>0</v>
      </c>
      <c r="H66" s="264">
        <f t="shared" si="56"/>
        <v>0</v>
      </c>
      <c r="I66" s="269">
        <f t="shared" si="56"/>
        <v>502230.33882665011</v>
      </c>
      <c r="J66" s="2"/>
      <c r="K66" s="2"/>
    </row>
    <row r="67" spans="1:11" x14ac:dyDescent="0.25">
      <c r="A67" s="272"/>
      <c r="B67" s="133"/>
      <c r="C67" s="264"/>
      <c r="D67" s="264"/>
      <c r="E67" s="264"/>
      <c r="F67" s="264"/>
      <c r="G67" s="264"/>
      <c r="H67" s="264"/>
      <c r="I67" s="269"/>
      <c r="J67" s="2"/>
      <c r="K67" s="2"/>
    </row>
    <row r="68" spans="1:11" x14ac:dyDescent="0.25">
      <c r="A68" s="155" t="s">
        <v>229</v>
      </c>
      <c r="B68" s="133"/>
      <c r="C68" s="264"/>
      <c r="D68" s="264"/>
      <c r="E68" s="264"/>
      <c r="F68" s="264"/>
      <c r="G68" s="264"/>
      <c r="H68" s="264"/>
      <c r="I68" s="269"/>
      <c r="J68" s="2"/>
      <c r="K68" s="2"/>
    </row>
    <row r="69" spans="1:11" x14ac:dyDescent="0.25">
      <c r="A69" s="150" t="s">
        <v>17</v>
      </c>
      <c r="B69" s="270" t="s">
        <v>13</v>
      </c>
      <c r="C69" s="151">
        <f>97.93*(C39*1000)/1000000</f>
        <v>76.356804440000019</v>
      </c>
      <c r="D69" s="151">
        <f>105.07*(D39*1000)/1000000</f>
        <v>42.665459689999999</v>
      </c>
      <c r="E69" s="151">
        <f>116.54*(E39*1000)/1000000</f>
        <v>33.882606520000003</v>
      </c>
      <c r="F69" s="151">
        <f>116.04*(F39*1000)/1000000</f>
        <v>31.208261760000003</v>
      </c>
      <c r="G69" s="151">
        <v>0</v>
      </c>
      <c r="H69" s="151">
        <v>0</v>
      </c>
      <c r="I69" s="271">
        <f>SUM(C69:H69)</f>
        <v>184.11313241000002</v>
      </c>
      <c r="J69" s="2"/>
      <c r="K69" s="2"/>
    </row>
    <row r="70" spans="1:11" x14ac:dyDescent="0.25">
      <c r="A70" s="150" t="s">
        <v>162</v>
      </c>
      <c r="B70" s="270" t="s">
        <v>13</v>
      </c>
      <c r="C70" s="151">
        <f t="shared" ref="C70:C71" si="57">97.93*(C40*1000)/1000000</f>
        <v>10.443933365250002</v>
      </c>
      <c r="D70" s="151">
        <f>105.07*(D40*1000)/1000000</f>
        <v>6.9799794413562504</v>
      </c>
      <c r="E70" s="151">
        <f>116.54*(E40*1000)/1000000</f>
        <v>8.0777952899999992</v>
      </c>
      <c r="F70" s="151">
        <f>116.04*(F40*1000)/1000000</f>
        <v>8.8150511250000001</v>
      </c>
      <c r="G70" s="151">
        <v>0</v>
      </c>
      <c r="H70" s="151">
        <v>0</v>
      </c>
      <c r="I70" s="271">
        <f>SUM(C70:H70)</f>
        <v>34.316759221606247</v>
      </c>
      <c r="J70" s="2"/>
      <c r="K70" s="2"/>
    </row>
    <row r="71" spans="1:11" x14ac:dyDescent="0.25">
      <c r="A71" s="150" t="s">
        <v>163</v>
      </c>
      <c r="B71" s="270" t="s">
        <v>13</v>
      </c>
      <c r="C71" s="151">
        <f t="shared" si="57"/>
        <v>12.284897890650001</v>
      </c>
      <c r="D71" s="151">
        <f>105.07*(D41*1000)/1000000</f>
        <v>14.69845500108125</v>
      </c>
      <c r="E71" s="151">
        <f>116.54*(E41*1000)/1000000</f>
        <v>6.9269860980000004</v>
      </c>
      <c r="F71" s="151">
        <f>116.04*(F41*1000)/1000000</f>
        <v>7.5592082250000008</v>
      </c>
      <c r="G71" s="151">
        <v>0</v>
      </c>
      <c r="H71" s="151">
        <v>0</v>
      </c>
      <c r="I71" s="271">
        <f>SUM(C71:H71)</f>
        <v>41.46954721473125</v>
      </c>
      <c r="J71" s="2"/>
      <c r="K71" s="2"/>
    </row>
    <row r="72" spans="1:11" x14ac:dyDescent="0.25">
      <c r="A72" s="155" t="s">
        <v>231</v>
      </c>
      <c r="B72" s="270" t="s">
        <v>13</v>
      </c>
      <c r="C72" s="178">
        <f t="shared" ref="C72:I72" si="58">SUM(C69:C71)</f>
        <v>99.085635695900024</v>
      </c>
      <c r="D72" s="178">
        <f t="shared" si="58"/>
        <v>64.343894132437498</v>
      </c>
      <c r="E72" s="178">
        <f t="shared" si="58"/>
        <v>48.887387908000001</v>
      </c>
      <c r="F72" s="178">
        <f t="shared" si="58"/>
        <v>47.582521110000002</v>
      </c>
      <c r="G72" s="178">
        <f t="shared" si="58"/>
        <v>0</v>
      </c>
      <c r="H72" s="178">
        <f t="shared" si="58"/>
        <v>0</v>
      </c>
      <c r="I72" s="154">
        <f t="shared" si="58"/>
        <v>259.89943884633749</v>
      </c>
      <c r="J72" s="2"/>
      <c r="K72" s="2"/>
    </row>
    <row r="73" spans="1:11" x14ac:dyDescent="0.25">
      <c r="A73" s="272"/>
      <c r="B73" s="270"/>
      <c r="C73" s="178"/>
      <c r="D73" s="178"/>
      <c r="E73" s="178"/>
      <c r="F73" s="178"/>
      <c r="G73" s="178"/>
      <c r="H73" s="178"/>
      <c r="I73" s="154"/>
      <c r="J73" s="2"/>
      <c r="K73" s="2"/>
    </row>
    <row r="74" spans="1:11" x14ac:dyDescent="0.25">
      <c r="A74" s="155" t="s">
        <v>232</v>
      </c>
      <c r="B74" s="133"/>
      <c r="C74" s="133"/>
      <c r="D74" s="133"/>
      <c r="E74" s="133"/>
      <c r="F74" s="133"/>
      <c r="G74" s="133"/>
      <c r="H74" s="133"/>
      <c r="I74" s="273"/>
      <c r="J74" s="2"/>
      <c r="K74" s="2"/>
    </row>
    <row r="75" spans="1:11" x14ac:dyDescent="0.25">
      <c r="A75" s="150" t="s">
        <v>17</v>
      </c>
      <c r="B75" s="133" t="s">
        <v>233</v>
      </c>
      <c r="C75" s="265">
        <f>C39*1000*0.00217</f>
        <v>1691.9663600000001</v>
      </c>
      <c r="D75" s="265">
        <f>D39*1000*0.00236</f>
        <v>958.31812000000002</v>
      </c>
      <c r="E75" s="265">
        <f>E39*1000*0.00751</f>
        <v>2183.44238</v>
      </c>
      <c r="F75" s="265">
        <f>F39*1000*0.00587</f>
        <v>1578.70128</v>
      </c>
      <c r="G75" s="265">
        <f>G39*1000*0.32372</f>
        <v>39012.468359999999</v>
      </c>
      <c r="H75" s="265">
        <f>H39*1000*0.32863</f>
        <v>22574.251959999998</v>
      </c>
      <c r="I75" s="268">
        <f>SUM(C75:H75)</f>
        <v>67999.148459999997</v>
      </c>
      <c r="J75" s="2"/>
      <c r="K75" s="2"/>
    </row>
    <row r="76" spans="1:11" x14ac:dyDescent="0.25">
      <c r="A76" s="150" t="s">
        <v>162</v>
      </c>
      <c r="B76" s="133" t="s">
        <v>233</v>
      </c>
      <c r="C76" s="265">
        <f t="shared" ref="C76:C77" si="59">C40*1000*0.00217</f>
        <v>231.42382725000004</v>
      </c>
      <c r="D76" s="265">
        <f t="shared" ref="D76:D77" si="60">D40*1000*0.00236</f>
        <v>156.77882822500001</v>
      </c>
      <c r="E76" s="265">
        <f t="shared" ref="E76:E77" si="61">E40*1000*0.00751</f>
        <v>520.54438500000003</v>
      </c>
      <c r="F76" s="265">
        <f t="shared" ref="F76:F77" si="62">F40*1000*0.00587</f>
        <v>445.91821874999999</v>
      </c>
      <c r="G76" s="265">
        <f t="shared" ref="G76:G77" si="63">G40*1000*0.32372</f>
        <v>13465.5582825</v>
      </c>
      <c r="H76" s="265">
        <f t="shared" ref="H76:H77" si="64">H40*1000*0.32863</f>
        <v>7821.3364897499987</v>
      </c>
      <c r="I76" s="268">
        <f>SUM(C76:H76)</f>
        <v>22641.560031474997</v>
      </c>
      <c r="J76" s="2"/>
      <c r="K76" s="2"/>
    </row>
    <row r="77" spans="1:11" x14ac:dyDescent="0.25">
      <c r="A77" s="150" t="s">
        <v>163</v>
      </c>
      <c r="B77" s="133" t="s">
        <v>233</v>
      </c>
      <c r="C77" s="265">
        <f t="shared" si="59"/>
        <v>272.21717984999998</v>
      </c>
      <c r="D77" s="265">
        <f t="shared" si="60"/>
        <v>330.14517752500001</v>
      </c>
      <c r="E77" s="265">
        <f t="shared" si="61"/>
        <v>446.384637</v>
      </c>
      <c r="F77" s="265">
        <f t="shared" si="62"/>
        <v>382.39014374999999</v>
      </c>
      <c r="G77" s="265">
        <f t="shared" si="63"/>
        <v>11547.1773765</v>
      </c>
      <c r="H77" s="265">
        <f t="shared" si="64"/>
        <v>6707.0638939499995</v>
      </c>
      <c r="I77" s="268">
        <f>SUM(C77:H77)</f>
        <v>19685.378408574998</v>
      </c>
      <c r="J77" s="2"/>
      <c r="K77" s="2"/>
    </row>
    <row r="78" spans="1:11" x14ac:dyDescent="0.25">
      <c r="A78" s="155" t="s">
        <v>234</v>
      </c>
      <c r="B78" s="133" t="s">
        <v>233</v>
      </c>
      <c r="C78" s="264">
        <f t="shared" ref="C78:I78" si="65">SUM(C75:C77)</f>
        <v>2195.6073670999999</v>
      </c>
      <c r="D78" s="264">
        <f t="shared" si="65"/>
        <v>1445.24212575</v>
      </c>
      <c r="E78" s="264">
        <f t="shared" si="65"/>
        <v>3150.3714020000002</v>
      </c>
      <c r="F78" s="264">
        <f t="shared" si="65"/>
        <v>2407.0096425000002</v>
      </c>
      <c r="G78" s="264">
        <f t="shared" si="65"/>
        <v>64025.204018999997</v>
      </c>
      <c r="H78" s="264">
        <f t="shared" si="65"/>
        <v>37102.6523437</v>
      </c>
      <c r="I78" s="269">
        <f t="shared" si="65"/>
        <v>110326.08690005</v>
      </c>
      <c r="J78" s="2"/>
      <c r="K78" s="2"/>
    </row>
    <row r="79" spans="1:11" x14ac:dyDescent="0.25">
      <c r="A79" s="272"/>
      <c r="B79" s="133"/>
      <c r="C79" s="264"/>
      <c r="D79" s="264"/>
      <c r="E79" s="264"/>
      <c r="F79" s="264"/>
      <c r="G79" s="264"/>
      <c r="H79" s="264"/>
      <c r="I79" s="269"/>
      <c r="J79" s="2"/>
      <c r="K79" s="2"/>
    </row>
    <row r="80" spans="1:11" x14ac:dyDescent="0.25">
      <c r="A80" s="150" t="s">
        <v>17</v>
      </c>
      <c r="B80" s="270" t="s">
        <v>13</v>
      </c>
      <c r="C80" s="151">
        <f>1.8*C39*1000/1000000</f>
        <v>1.4034744000000001</v>
      </c>
      <c r="D80" s="151">
        <f>1.95*D39*1000/1000000</f>
        <v>0.79183064999999997</v>
      </c>
      <c r="E80" s="151">
        <f>6.22*E39*1000/1000000</f>
        <v>1.80839036</v>
      </c>
      <c r="F80" s="151">
        <f>4.86*F39*1000/1000000</f>
        <v>1.30706784</v>
      </c>
      <c r="G80" s="151">
        <f>267.98*G39*1000/1000000</f>
        <v>32.295073739999999</v>
      </c>
      <c r="H80" s="151">
        <f>267.98*H39*1000/1000000</f>
        <v>18.408082159999996</v>
      </c>
      <c r="I80" s="271">
        <f>SUM(C80:H80)</f>
        <v>56.013919149999992</v>
      </c>
      <c r="J80" s="2"/>
      <c r="K80" s="2"/>
    </row>
    <row r="81" spans="1:11" x14ac:dyDescent="0.25">
      <c r="A81" s="150" t="s">
        <v>162</v>
      </c>
      <c r="B81" s="270" t="s">
        <v>13</v>
      </c>
      <c r="C81" s="151">
        <f t="shared" ref="C81:C82" si="66">1.8*C40*1000/1000000</f>
        <v>0.19196446500000003</v>
      </c>
      <c r="D81" s="151">
        <f t="shared" ref="D81:D82" si="67">1.95*D40*1000/1000000</f>
        <v>0.12954182840625</v>
      </c>
      <c r="E81" s="151">
        <f t="shared" ref="E81:E82" si="68">6.22*E40*1000/1000000</f>
        <v>0.43112997000000003</v>
      </c>
      <c r="F81" s="151">
        <f t="shared" ref="F81:F82" si="69">4.86*F40*1000/1000000</f>
        <v>0.36919293749999998</v>
      </c>
      <c r="G81" s="151">
        <f t="shared" ref="G81:H82" si="70">267.98*G40*1000/1000000</f>
        <v>11.146979823750002</v>
      </c>
      <c r="H81" s="151">
        <f t="shared" si="70"/>
        <v>6.3778771035000004</v>
      </c>
      <c r="I81" s="271">
        <f>SUM(C81:H81)</f>
        <v>18.646686128156251</v>
      </c>
      <c r="J81" s="2"/>
      <c r="K81" s="2"/>
    </row>
    <row r="82" spans="1:11" x14ac:dyDescent="0.25">
      <c r="A82" s="150" t="s">
        <v>163</v>
      </c>
      <c r="B82" s="270" t="s">
        <v>13</v>
      </c>
      <c r="C82" s="151">
        <f t="shared" si="66"/>
        <v>0.225802269</v>
      </c>
      <c r="D82" s="151">
        <f t="shared" si="67"/>
        <v>0.27278944753125001</v>
      </c>
      <c r="E82" s="151">
        <f t="shared" si="68"/>
        <v>0.36970871399999999</v>
      </c>
      <c r="F82" s="151">
        <f t="shared" si="69"/>
        <v>0.3165955875</v>
      </c>
      <c r="G82" s="151">
        <f t="shared" si="70"/>
        <v>9.5589169447500009</v>
      </c>
      <c r="H82" s="151">
        <f t="shared" si="70"/>
        <v>5.4692480367000007</v>
      </c>
      <c r="I82" s="271">
        <f>SUM(C82:H82)</f>
        <v>16.21306099948125</v>
      </c>
      <c r="J82" s="2"/>
      <c r="K82" s="2"/>
    </row>
    <row r="83" spans="1:11" x14ac:dyDescent="0.25">
      <c r="A83" s="155" t="s">
        <v>234</v>
      </c>
      <c r="B83" s="270" t="s">
        <v>13</v>
      </c>
      <c r="C83" s="178">
        <f t="shared" ref="C83:I83" si="71">SUM(C80:C82)</f>
        <v>1.8212411340000001</v>
      </c>
      <c r="D83" s="178">
        <f t="shared" si="71"/>
        <v>1.1941619259375</v>
      </c>
      <c r="E83" s="178">
        <f t="shared" si="71"/>
        <v>2.6092290440000001</v>
      </c>
      <c r="F83" s="178">
        <f t="shared" si="71"/>
        <v>1.992856365</v>
      </c>
      <c r="G83" s="178">
        <f t="shared" si="71"/>
        <v>53.000970508500004</v>
      </c>
      <c r="H83" s="178">
        <f t="shared" si="71"/>
        <v>30.255207300199999</v>
      </c>
      <c r="I83" s="154">
        <f t="shared" si="71"/>
        <v>90.873666277637483</v>
      </c>
      <c r="J83" s="2"/>
      <c r="K8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1AEB-B90A-48DB-8DDD-994EC7FA9A43}">
  <dimension ref="A2:B5"/>
  <sheetViews>
    <sheetView workbookViewId="0">
      <selection activeCell="B5" sqref="B5"/>
    </sheetView>
  </sheetViews>
  <sheetFormatPr defaultRowHeight="15" x14ac:dyDescent="0.25"/>
  <cols>
    <col min="1" max="1" width="18.140625" customWidth="1"/>
  </cols>
  <sheetData>
    <row r="2" spans="1:2" x14ac:dyDescent="0.25">
      <c r="A2" t="s">
        <v>241</v>
      </c>
      <c r="B2" s="30">
        <f>'Resumo de poupança 2028-2053'!I4</f>
        <v>181.2658182880418</v>
      </c>
    </row>
    <row r="3" spans="1:2" x14ac:dyDescent="0.25">
      <c r="A3" t="s">
        <v>199</v>
      </c>
      <c r="B3" s="30">
        <f>'Poupança 2028-2029'!I15</f>
        <v>148.5</v>
      </c>
    </row>
    <row r="4" spans="1:2" x14ac:dyDescent="0.25">
      <c r="A4" t="s">
        <v>242</v>
      </c>
      <c r="B4" s="30">
        <f>'Resumo de poupança 2028-2053'!I25</f>
        <v>115.09050014263212</v>
      </c>
    </row>
    <row r="5" spans="1:2" x14ac:dyDescent="0.25">
      <c r="A5" t="s">
        <v>243</v>
      </c>
      <c r="B5" s="30">
        <f>'Resumo de poupança 2028-2053'!I36</f>
        <v>93.971727519113259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9665-7D2C-4552-956F-698E6BF0458B}">
  <dimension ref="A1:AD20"/>
  <sheetViews>
    <sheetView workbookViewId="0">
      <selection activeCell="E3" sqref="E3:E9"/>
    </sheetView>
  </sheetViews>
  <sheetFormatPr defaultRowHeight="15" x14ac:dyDescent="0.25"/>
  <cols>
    <col min="1" max="1" width="15.85546875" customWidth="1"/>
    <col min="3" max="3" width="10.7109375" customWidth="1"/>
    <col min="4" max="4" width="12.5703125" customWidth="1"/>
    <col min="5" max="5" width="8" bestFit="1" customWidth="1"/>
    <col min="6" max="6" width="12" bestFit="1" customWidth="1"/>
    <col min="7" max="30" width="8" bestFit="1" customWidth="1"/>
  </cols>
  <sheetData>
    <row r="1" spans="1:30" s="32" customFormat="1" x14ac:dyDescent="0.25">
      <c r="A1" s="88" t="s">
        <v>244</v>
      </c>
      <c r="B1" s="408">
        <v>2028</v>
      </c>
      <c r="C1" s="408"/>
      <c r="D1" s="81" t="s">
        <v>245</v>
      </c>
      <c r="E1" s="86">
        <v>2028</v>
      </c>
      <c r="F1" s="86">
        <f>E1+1</f>
        <v>2029</v>
      </c>
      <c r="G1" s="86">
        <f t="shared" ref="G1:AD1" si="0">F1+1</f>
        <v>2030</v>
      </c>
      <c r="H1" s="86">
        <f t="shared" si="0"/>
        <v>2031</v>
      </c>
      <c r="I1" s="86">
        <f t="shared" si="0"/>
        <v>2032</v>
      </c>
      <c r="J1" s="86">
        <f t="shared" si="0"/>
        <v>2033</v>
      </c>
      <c r="K1" s="86">
        <f t="shared" si="0"/>
        <v>2034</v>
      </c>
      <c r="L1" s="86">
        <f t="shared" si="0"/>
        <v>2035</v>
      </c>
      <c r="M1" s="86">
        <f t="shared" si="0"/>
        <v>2036</v>
      </c>
      <c r="N1" s="86">
        <f t="shared" si="0"/>
        <v>2037</v>
      </c>
      <c r="O1" s="86">
        <f t="shared" si="0"/>
        <v>2038</v>
      </c>
      <c r="P1" s="86">
        <f t="shared" si="0"/>
        <v>2039</v>
      </c>
      <c r="Q1" s="86">
        <f t="shared" si="0"/>
        <v>2040</v>
      </c>
      <c r="R1" s="86">
        <f t="shared" si="0"/>
        <v>2041</v>
      </c>
      <c r="S1" s="86">
        <f t="shared" si="0"/>
        <v>2042</v>
      </c>
      <c r="T1" s="86">
        <f t="shared" si="0"/>
        <v>2043</v>
      </c>
      <c r="U1" s="86">
        <f t="shared" si="0"/>
        <v>2044</v>
      </c>
      <c r="V1" s="86">
        <f t="shared" si="0"/>
        <v>2045</v>
      </c>
      <c r="W1" s="86">
        <f t="shared" si="0"/>
        <v>2046</v>
      </c>
      <c r="X1" s="86">
        <f t="shared" si="0"/>
        <v>2047</v>
      </c>
      <c r="Y1" s="86">
        <f t="shared" si="0"/>
        <v>2048</v>
      </c>
      <c r="Z1" s="86">
        <f t="shared" si="0"/>
        <v>2049</v>
      </c>
      <c r="AA1" s="86">
        <f t="shared" si="0"/>
        <v>2050</v>
      </c>
      <c r="AB1" s="86">
        <f t="shared" si="0"/>
        <v>2051</v>
      </c>
      <c r="AC1" s="86">
        <f t="shared" si="0"/>
        <v>2052</v>
      </c>
      <c r="AD1" s="86">
        <f t="shared" si="0"/>
        <v>2053</v>
      </c>
    </row>
    <row r="2" spans="1:30" x14ac:dyDescent="0.25">
      <c r="A2" s="79" t="s">
        <v>246</v>
      </c>
      <c r="B2" s="29"/>
      <c r="C2" s="29" t="s">
        <v>247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x14ac:dyDescent="0.25">
      <c r="A3" s="78" t="s">
        <v>0</v>
      </c>
      <c r="B3" s="4">
        <f>E3</f>
        <v>135.79</v>
      </c>
      <c r="C3" s="82">
        <v>6.64</v>
      </c>
      <c r="D3" s="83">
        <f t="shared" ref="D3:D9" si="1">AVERAGE(E3:AD3)</f>
        <v>168.94045710771474</v>
      </c>
      <c r="E3" s="191">
        <v>135.79</v>
      </c>
      <c r="F3" s="3">
        <f>E3*(1+$C$11)</f>
        <v>138.166325</v>
      </c>
      <c r="G3" s="3">
        <f t="shared" ref="G3:AD8" si="2">F3*(1+$C$11)</f>
        <v>140.58423568750001</v>
      </c>
      <c r="H3" s="3">
        <f t="shared" si="2"/>
        <v>143.04445981203128</v>
      </c>
      <c r="I3" s="3">
        <f t="shared" si="2"/>
        <v>145.54773785874184</v>
      </c>
      <c r="J3" s="3">
        <f t="shared" si="2"/>
        <v>148.09482327126983</v>
      </c>
      <c r="K3" s="3">
        <f t="shared" si="2"/>
        <v>150.68648267851705</v>
      </c>
      <c r="L3" s="3">
        <f t="shared" si="2"/>
        <v>153.3234961253911</v>
      </c>
      <c r="M3" s="3">
        <f t="shared" si="2"/>
        <v>156.00665730758547</v>
      </c>
      <c r="N3" s="3">
        <f t="shared" si="2"/>
        <v>158.73677381046824</v>
      </c>
      <c r="O3" s="3">
        <f t="shared" si="2"/>
        <v>161.51466735215143</v>
      </c>
      <c r="P3" s="3">
        <f t="shared" si="2"/>
        <v>164.3411740308141</v>
      </c>
      <c r="Q3" s="3">
        <f t="shared" si="2"/>
        <v>167.21714457635335</v>
      </c>
      <c r="R3" s="3">
        <f t="shared" si="2"/>
        <v>170.14344460643954</v>
      </c>
      <c r="S3" s="3">
        <f t="shared" si="2"/>
        <v>173.12095488705225</v>
      </c>
      <c r="T3" s="3">
        <f t="shared" si="2"/>
        <v>176.15057159757566</v>
      </c>
      <c r="U3" s="3">
        <f t="shared" si="2"/>
        <v>179.23320660053324</v>
      </c>
      <c r="V3" s="3">
        <f>U3*(1-$C$12)</f>
        <v>179.23320660053324</v>
      </c>
      <c r="W3" s="3">
        <f t="shared" si="2"/>
        <v>182.36978771604259</v>
      </c>
      <c r="X3" s="3">
        <f t="shared" si="2"/>
        <v>185.56125900107335</v>
      </c>
      <c r="Y3" s="3">
        <f t="shared" si="2"/>
        <v>188.80858103359216</v>
      </c>
      <c r="Z3" s="3">
        <f t="shared" si="2"/>
        <v>192.11273120168005</v>
      </c>
      <c r="AA3" s="3">
        <f t="shared" si="2"/>
        <v>195.47470399770947</v>
      </c>
      <c r="AB3" s="3">
        <f t="shared" si="2"/>
        <v>198.89551131766939</v>
      </c>
      <c r="AC3" s="3">
        <f t="shared" si="2"/>
        <v>202.37618276572863</v>
      </c>
      <c r="AD3" s="3">
        <f t="shared" si="2"/>
        <v>205.9177659641289</v>
      </c>
    </row>
    <row r="4" spans="1:30" x14ac:dyDescent="0.25">
      <c r="A4" s="78" t="s">
        <v>1</v>
      </c>
      <c r="B4" s="4">
        <f t="shared" ref="B4:B8" si="3">E4</f>
        <v>137.04</v>
      </c>
      <c r="C4" s="82">
        <v>7.92</v>
      </c>
      <c r="D4" s="83">
        <f t="shared" si="1"/>
        <v>170.49562001650503</v>
      </c>
      <c r="E4" s="191">
        <v>137.04</v>
      </c>
      <c r="F4" s="3">
        <f t="shared" ref="F4:AD4" si="4">E4*(1+$C$11)</f>
        <v>139.43819999999999</v>
      </c>
      <c r="G4" s="3">
        <f t="shared" si="4"/>
        <v>141.87836849999999</v>
      </c>
      <c r="H4" s="3">
        <f t="shared" si="4"/>
        <v>144.36123994875001</v>
      </c>
      <c r="I4" s="3">
        <f t="shared" si="4"/>
        <v>146.88756164785315</v>
      </c>
      <c r="J4" s="3">
        <f t="shared" si="4"/>
        <v>149.45809397669058</v>
      </c>
      <c r="K4" s="3">
        <f t="shared" si="4"/>
        <v>152.07361062128268</v>
      </c>
      <c r="L4" s="3">
        <f t="shared" si="4"/>
        <v>154.73489880715513</v>
      </c>
      <c r="M4" s="3">
        <f t="shared" si="4"/>
        <v>157.44275953628036</v>
      </c>
      <c r="N4" s="3">
        <f t="shared" si="4"/>
        <v>160.19800782816529</v>
      </c>
      <c r="O4" s="3">
        <f t="shared" si="4"/>
        <v>163.0014729651582</v>
      </c>
      <c r="P4" s="3">
        <f t="shared" si="4"/>
        <v>165.85399874204847</v>
      </c>
      <c r="Q4" s="3">
        <f t="shared" si="4"/>
        <v>168.75644372003433</v>
      </c>
      <c r="R4" s="3">
        <f t="shared" si="4"/>
        <v>171.70968148513495</v>
      </c>
      <c r="S4" s="3">
        <f t="shared" si="4"/>
        <v>174.71460091112482</v>
      </c>
      <c r="T4" s="3">
        <f t="shared" si="4"/>
        <v>177.7721064270695</v>
      </c>
      <c r="U4" s="3">
        <f t="shared" si="4"/>
        <v>180.88311828954323</v>
      </c>
      <c r="V4" s="3">
        <f t="shared" ref="V4:V8" si="5">U4*(1-$C$12)</f>
        <v>180.88311828954323</v>
      </c>
      <c r="W4" s="3">
        <f t="shared" si="4"/>
        <v>184.04857285961026</v>
      </c>
      <c r="X4" s="3">
        <f t="shared" si="4"/>
        <v>187.26942288465347</v>
      </c>
      <c r="Y4" s="3">
        <f t="shared" si="2"/>
        <v>190.54663778513492</v>
      </c>
      <c r="Z4" s="3">
        <f t="shared" si="4"/>
        <v>193.8812039463748</v>
      </c>
      <c r="AA4" s="3">
        <f t="shared" si="4"/>
        <v>197.27412501543637</v>
      </c>
      <c r="AB4" s="3">
        <f t="shared" si="4"/>
        <v>200.72642220320651</v>
      </c>
      <c r="AC4" s="3">
        <f t="shared" si="4"/>
        <v>204.23913459176265</v>
      </c>
      <c r="AD4" s="3">
        <f t="shared" si="4"/>
        <v>207.81331944711852</v>
      </c>
    </row>
    <row r="5" spans="1:30" x14ac:dyDescent="0.25">
      <c r="A5" s="78" t="s">
        <v>2</v>
      </c>
      <c r="B5" s="4">
        <f t="shared" si="3"/>
        <v>153.97999999999999</v>
      </c>
      <c r="C5" s="82">
        <v>16.32</v>
      </c>
      <c r="D5" s="83">
        <f t="shared" si="1"/>
        <v>191.57118775643207</v>
      </c>
      <c r="E5" s="191">
        <v>153.97999999999999</v>
      </c>
      <c r="F5" s="3">
        <f t="shared" ref="F5:AD5" si="6">E5*(1+$C$11)</f>
        <v>156.67465000000001</v>
      </c>
      <c r="G5" s="3">
        <f t="shared" si="6"/>
        <v>159.41645637500002</v>
      </c>
      <c r="H5" s="3">
        <f t="shared" si="6"/>
        <v>162.20624436156254</v>
      </c>
      <c r="I5" s="3">
        <f t="shared" si="6"/>
        <v>165.0448536378899</v>
      </c>
      <c r="J5" s="3">
        <f t="shared" si="6"/>
        <v>167.93313857655298</v>
      </c>
      <c r="K5" s="3">
        <f t="shared" si="6"/>
        <v>170.87196850164267</v>
      </c>
      <c r="L5" s="3">
        <f t="shared" si="6"/>
        <v>173.86222795042144</v>
      </c>
      <c r="M5" s="3">
        <f t="shared" si="6"/>
        <v>176.90481693955383</v>
      </c>
      <c r="N5" s="3">
        <f t="shared" si="6"/>
        <v>180.00065123599603</v>
      </c>
      <c r="O5" s="3">
        <f t="shared" si="6"/>
        <v>183.15066263262597</v>
      </c>
      <c r="P5" s="3">
        <f t="shared" si="6"/>
        <v>186.35579922869692</v>
      </c>
      <c r="Q5" s="3">
        <f t="shared" si="6"/>
        <v>189.61702571519913</v>
      </c>
      <c r="R5" s="3">
        <f t="shared" si="6"/>
        <v>192.93532366521512</v>
      </c>
      <c r="S5" s="3">
        <f t="shared" si="6"/>
        <v>196.31169182935639</v>
      </c>
      <c r="T5" s="3">
        <f t="shared" si="6"/>
        <v>199.74714643637014</v>
      </c>
      <c r="U5" s="3">
        <f t="shared" si="6"/>
        <v>203.24272149900665</v>
      </c>
      <c r="V5" s="3">
        <f t="shared" si="5"/>
        <v>203.24272149900665</v>
      </c>
      <c r="W5" s="3">
        <f t="shared" si="6"/>
        <v>206.79946912523928</v>
      </c>
      <c r="X5" s="3">
        <f t="shared" si="6"/>
        <v>210.41845983493099</v>
      </c>
      <c r="Y5" s="3">
        <f t="shared" si="2"/>
        <v>214.1007828820423</v>
      </c>
      <c r="Z5" s="3">
        <f t="shared" si="6"/>
        <v>217.84754658247806</v>
      </c>
      <c r="AA5" s="3">
        <f t="shared" si="6"/>
        <v>221.65987864767143</v>
      </c>
      <c r="AB5" s="3">
        <f t="shared" si="6"/>
        <v>225.53892652400569</v>
      </c>
      <c r="AC5" s="3">
        <f t="shared" si="6"/>
        <v>229.48585773817581</v>
      </c>
      <c r="AD5" s="3">
        <f t="shared" si="6"/>
        <v>233.50186024859391</v>
      </c>
    </row>
    <row r="6" spans="1:30" x14ac:dyDescent="0.25">
      <c r="A6" s="78" t="s">
        <v>3</v>
      </c>
      <c r="B6" s="4">
        <f t="shared" si="3"/>
        <v>157.80000000000001</v>
      </c>
      <c r="C6" s="82">
        <v>18.97</v>
      </c>
      <c r="D6" s="83">
        <f t="shared" si="1"/>
        <v>196.3237656056954</v>
      </c>
      <c r="E6" s="191">
        <v>157.80000000000001</v>
      </c>
      <c r="F6" s="3">
        <f t="shared" ref="F6:AD6" si="7">E6*(1+$C$11)</f>
        <v>160.56150000000002</v>
      </c>
      <c r="G6" s="3">
        <f t="shared" si="7"/>
        <v>163.37132625000004</v>
      </c>
      <c r="H6" s="3">
        <f t="shared" si="7"/>
        <v>166.23032445937505</v>
      </c>
      <c r="I6" s="3">
        <f t="shared" si="7"/>
        <v>169.13935513741413</v>
      </c>
      <c r="J6" s="3">
        <f t="shared" si="7"/>
        <v>172.09929385231888</v>
      </c>
      <c r="K6" s="3">
        <f t="shared" si="7"/>
        <v>175.11103149473448</v>
      </c>
      <c r="L6" s="3">
        <f t="shared" si="7"/>
        <v>178.17547454589234</v>
      </c>
      <c r="M6" s="3">
        <f t="shared" si="7"/>
        <v>181.29354535044547</v>
      </c>
      <c r="N6" s="3">
        <f t="shared" si="7"/>
        <v>184.46618239407829</v>
      </c>
      <c r="O6" s="3">
        <f t="shared" si="7"/>
        <v>187.69434058597466</v>
      </c>
      <c r="P6" s="3">
        <f t="shared" si="7"/>
        <v>190.97899154622922</v>
      </c>
      <c r="Q6" s="3">
        <f t="shared" si="7"/>
        <v>194.32112389828825</v>
      </c>
      <c r="R6" s="3">
        <f t="shared" si="7"/>
        <v>197.72174356650831</v>
      </c>
      <c r="S6" s="3">
        <f t="shared" si="7"/>
        <v>201.18187407892222</v>
      </c>
      <c r="T6" s="3">
        <f t="shared" si="7"/>
        <v>204.70255687530337</v>
      </c>
      <c r="U6" s="3">
        <f t="shared" si="7"/>
        <v>208.2848516206212</v>
      </c>
      <c r="V6" s="3">
        <f t="shared" si="5"/>
        <v>208.2848516206212</v>
      </c>
      <c r="W6" s="3">
        <f t="shared" si="7"/>
        <v>211.92983652398209</v>
      </c>
      <c r="X6" s="3">
        <f t="shared" si="7"/>
        <v>215.63860866315179</v>
      </c>
      <c r="Y6" s="3">
        <f t="shared" si="2"/>
        <v>219.41228431475696</v>
      </c>
      <c r="Z6" s="3">
        <f t="shared" si="7"/>
        <v>223.25199929026522</v>
      </c>
      <c r="AA6" s="3">
        <f t="shared" si="7"/>
        <v>227.15890927784488</v>
      </c>
      <c r="AB6" s="3">
        <f t="shared" si="7"/>
        <v>231.13419019020719</v>
      </c>
      <c r="AC6" s="3">
        <f t="shared" si="7"/>
        <v>235.17903851853583</v>
      </c>
      <c r="AD6" s="3">
        <f t="shared" si="7"/>
        <v>239.29467169261022</v>
      </c>
    </row>
    <row r="7" spans="1:30" x14ac:dyDescent="0.25">
      <c r="A7" s="78" t="s">
        <v>4</v>
      </c>
      <c r="B7" s="4">
        <f t="shared" si="3"/>
        <v>191.69</v>
      </c>
      <c r="C7" s="82">
        <v>21.02</v>
      </c>
      <c r="D7" s="83">
        <f t="shared" si="1"/>
        <v>238.48734238881974</v>
      </c>
      <c r="E7" s="191">
        <v>191.69</v>
      </c>
      <c r="F7" s="3">
        <f t="shared" ref="F7:AD7" si="8">E7*(1+$C$11)</f>
        <v>195.04457500000001</v>
      </c>
      <c r="G7" s="3">
        <f t="shared" si="8"/>
        <v>198.45785506250002</v>
      </c>
      <c r="H7" s="3">
        <f t="shared" si="8"/>
        <v>201.93086752609378</v>
      </c>
      <c r="I7" s="3">
        <f t="shared" si="8"/>
        <v>205.46465770780043</v>
      </c>
      <c r="J7" s="3">
        <f t="shared" si="8"/>
        <v>209.06028921768694</v>
      </c>
      <c r="K7" s="3">
        <f t="shared" si="8"/>
        <v>212.71884427899647</v>
      </c>
      <c r="L7" s="3">
        <f t="shared" si="8"/>
        <v>216.44142405387893</v>
      </c>
      <c r="M7" s="3">
        <f t="shared" si="8"/>
        <v>220.22914897482184</v>
      </c>
      <c r="N7" s="3">
        <f t="shared" si="8"/>
        <v>224.08315908188123</v>
      </c>
      <c r="O7" s="3">
        <f t="shared" si="8"/>
        <v>228.00461436581418</v>
      </c>
      <c r="P7" s="3">
        <f t="shared" si="8"/>
        <v>231.99469511721594</v>
      </c>
      <c r="Q7" s="3">
        <f t="shared" si="8"/>
        <v>236.05460228176725</v>
      </c>
      <c r="R7" s="3">
        <f t="shared" si="8"/>
        <v>240.18555782169818</v>
      </c>
      <c r="S7" s="3">
        <f t="shared" si="8"/>
        <v>244.38880508357792</v>
      </c>
      <c r="T7" s="3">
        <f t="shared" si="8"/>
        <v>248.66560917254054</v>
      </c>
      <c r="U7" s="3">
        <f t="shared" si="8"/>
        <v>253.01725733306003</v>
      </c>
      <c r="V7" s="3">
        <f t="shared" si="5"/>
        <v>253.01725733306003</v>
      </c>
      <c r="W7" s="3">
        <f t="shared" si="8"/>
        <v>257.44505933638862</v>
      </c>
      <c r="X7" s="3">
        <f t="shared" si="8"/>
        <v>261.95034787477545</v>
      </c>
      <c r="Y7" s="3">
        <f t="shared" si="2"/>
        <v>266.53447896258405</v>
      </c>
      <c r="Z7" s="3">
        <f t="shared" si="8"/>
        <v>271.19883234442926</v>
      </c>
      <c r="AA7" s="3">
        <f t="shared" si="8"/>
        <v>275.94481191045679</v>
      </c>
      <c r="AB7" s="3">
        <f t="shared" si="8"/>
        <v>280.77384611888982</v>
      </c>
      <c r="AC7" s="3">
        <f t="shared" si="8"/>
        <v>285.68738842597043</v>
      </c>
      <c r="AD7" s="3">
        <f t="shared" si="8"/>
        <v>290.68691772342493</v>
      </c>
    </row>
    <row r="8" spans="1:30" x14ac:dyDescent="0.25">
      <c r="A8" s="78" t="s">
        <v>248</v>
      </c>
      <c r="B8" s="4">
        <f t="shared" si="3"/>
        <v>196.73</v>
      </c>
      <c r="C8" s="82">
        <v>20.76</v>
      </c>
      <c r="D8" s="83">
        <f t="shared" si="1"/>
        <v>244.75775923706246</v>
      </c>
      <c r="E8" s="5">
        <v>196.73</v>
      </c>
      <c r="F8" s="5">
        <f t="shared" ref="F8:AD8" si="9">E8*(1+$C$11)</f>
        <v>200.172775</v>
      </c>
      <c r="G8" s="5">
        <f t="shared" si="9"/>
        <v>203.67579856250001</v>
      </c>
      <c r="H8" s="5">
        <f t="shared" si="9"/>
        <v>207.24012503734377</v>
      </c>
      <c r="I8" s="5">
        <f t="shared" si="9"/>
        <v>210.8668272254973</v>
      </c>
      <c r="J8" s="5">
        <f t="shared" si="9"/>
        <v>214.55699670194352</v>
      </c>
      <c r="K8" s="5">
        <f t="shared" si="9"/>
        <v>218.31174414422753</v>
      </c>
      <c r="L8" s="5">
        <f t="shared" si="9"/>
        <v>222.13219966675152</v>
      </c>
      <c r="M8" s="5">
        <f t="shared" si="9"/>
        <v>226.01951316091967</v>
      </c>
      <c r="N8" s="5">
        <f t="shared" si="9"/>
        <v>229.97485464123579</v>
      </c>
      <c r="O8" s="5">
        <f t="shared" si="9"/>
        <v>233.99941459745745</v>
      </c>
      <c r="P8" s="5">
        <f t="shared" si="9"/>
        <v>238.09440435291296</v>
      </c>
      <c r="Q8" s="5">
        <f t="shared" si="9"/>
        <v>242.26105642908897</v>
      </c>
      <c r="R8" s="5">
        <f t="shared" si="9"/>
        <v>246.50062491659804</v>
      </c>
      <c r="S8" s="5">
        <f t="shared" si="9"/>
        <v>250.81438585263854</v>
      </c>
      <c r="T8" s="5">
        <f t="shared" si="9"/>
        <v>255.20363760505973</v>
      </c>
      <c r="U8" s="5">
        <f t="shared" si="9"/>
        <v>259.66970126314828</v>
      </c>
      <c r="V8" s="3">
        <f t="shared" si="5"/>
        <v>259.66970126314828</v>
      </c>
      <c r="W8" s="5">
        <f t="shared" si="9"/>
        <v>264.21392103525341</v>
      </c>
      <c r="X8" s="5">
        <f t="shared" si="9"/>
        <v>268.83766465337038</v>
      </c>
      <c r="Y8" s="3">
        <f t="shared" si="2"/>
        <v>273.54232378480441</v>
      </c>
      <c r="Z8" s="5">
        <f t="shared" si="9"/>
        <v>278.3293144510385</v>
      </c>
      <c r="AA8" s="5">
        <f t="shared" si="9"/>
        <v>283.20007745393167</v>
      </c>
      <c r="AB8" s="5">
        <f t="shared" si="9"/>
        <v>288.15607880937551</v>
      </c>
      <c r="AC8" s="5">
        <f t="shared" si="9"/>
        <v>293.1988101885396</v>
      </c>
      <c r="AD8" s="5">
        <f t="shared" si="9"/>
        <v>298.32978936683907</v>
      </c>
    </row>
    <row r="9" spans="1:30" ht="15.75" thickBot="1" x14ac:dyDescent="0.3">
      <c r="A9" s="80" t="s">
        <v>249</v>
      </c>
      <c r="B9" s="87">
        <f>E9</f>
        <v>148.5</v>
      </c>
      <c r="C9" s="189"/>
      <c r="D9" s="190">
        <f t="shared" si="1"/>
        <v>183.97744541541039</v>
      </c>
      <c r="E9" s="87">
        <v>148.5</v>
      </c>
      <c r="F9" s="87">
        <f t="shared" ref="F9:AD9" si="10">0.392*F3+0.217*F4+0.146*F5+0.145*F6+0.068*F7+0.033*F8</f>
        <v>150.44393787500002</v>
      </c>
      <c r="G9" s="87">
        <f t="shared" si="10"/>
        <v>153.07670678781253</v>
      </c>
      <c r="H9" s="87">
        <f t="shared" si="10"/>
        <v>155.75554915659922</v>
      </c>
      <c r="I9" s="87">
        <f t="shared" si="10"/>
        <v>158.48127126683974</v>
      </c>
      <c r="J9" s="87">
        <f t="shared" si="10"/>
        <v>161.25469351400946</v>
      </c>
      <c r="K9" s="87">
        <f t="shared" si="10"/>
        <v>164.07665065050463</v>
      </c>
      <c r="L9" s="87">
        <f t="shared" si="10"/>
        <v>166.94799203688848</v>
      </c>
      <c r="M9" s="87">
        <f t="shared" si="10"/>
        <v>169.86958189753403</v>
      </c>
      <c r="N9" s="87">
        <f t="shared" si="10"/>
        <v>172.8422995807409</v>
      </c>
      <c r="O9" s="87">
        <f t="shared" si="10"/>
        <v>175.8670398234039</v>
      </c>
      <c r="P9" s="87">
        <f t="shared" si="10"/>
        <v>178.94471302031343</v>
      </c>
      <c r="Q9" s="87">
        <f t="shared" si="10"/>
        <v>182.07624549816899</v>
      </c>
      <c r="R9" s="87">
        <f t="shared" si="10"/>
        <v>185.26257979438694</v>
      </c>
      <c r="S9" s="87">
        <f t="shared" si="10"/>
        <v>188.5046749407887</v>
      </c>
      <c r="T9" s="87">
        <f t="shared" si="10"/>
        <v>191.8035067522525</v>
      </c>
      <c r="U9" s="87">
        <f t="shared" si="10"/>
        <v>195.16006812041692</v>
      </c>
      <c r="V9" s="87">
        <f t="shared" si="10"/>
        <v>195.16006812041692</v>
      </c>
      <c r="W9" s="87">
        <f t="shared" si="10"/>
        <v>198.57536931252423</v>
      </c>
      <c r="X9" s="87">
        <f t="shared" si="10"/>
        <v>202.05043827549346</v>
      </c>
      <c r="Y9" s="87">
        <f t="shared" si="10"/>
        <v>205.58632094531458</v>
      </c>
      <c r="Z9" s="87">
        <f t="shared" si="10"/>
        <v>209.18408156185762</v>
      </c>
      <c r="AA9" s="87">
        <f t="shared" si="10"/>
        <v>212.84480298919019</v>
      </c>
      <c r="AB9" s="87">
        <f t="shared" si="10"/>
        <v>216.56958704150099</v>
      </c>
      <c r="AC9" s="87">
        <f t="shared" si="10"/>
        <v>220.35955481472723</v>
      </c>
      <c r="AD9" s="87">
        <f t="shared" si="10"/>
        <v>224.21584702398502</v>
      </c>
    </row>
    <row r="11" spans="1:30" x14ac:dyDescent="0.25">
      <c r="A11" s="406" t="s">
        <v>250</v>
      </c>
      <c r="B11" s="407"/>
      <c r="C11" s="84">
        <v>1.7500000000000002E-2</v>
      </c>
    </row>
    <row r="12" spans="1:30" x14ac:dyDescent="0.25">
      <c r="A12" s="78" t="s">
        <v>251</v>
      </c>
      <c r="B12" s="196"/>
      <c r="C12" s="85"/>
    </row>
    <row r="13" spans="1:30" x14ac:dyDescent="0.25">
      <c r="A13" s="79" t="s">
        <v>246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x14ac:dyDescent="0.25">
      <c r="A14" s="78" t="s">
        <v>0</v>
      </c>
      <c r="B14" s="4">
        <f>E14</f>
        <v>117.1</v>
      </c>
      <c r="C14" s="82">
        <v>6.64</v>
      </c>
      <c r="D14" s="83">
        <f t="shared" ref="D14:D20" si="11">AVERAGE(E14:AD14)</f>
        <v>145.68766129548118</v>
      </c>
      <c r="E14" s="191">
        <v>117.1</v>
      </c>
      <c r="F14" s="3">
        <f>E14*(1+$C$11)</f>
        <v>119.14925000000001</v>
      </c>
      <c r="G14" s="3">
        <f t="shared" ref="G14:G19" si="12">F14*(1+$C$11)</f>
        <v>121.23436187500002</v>
      </c>
      <c r="H14" s="3">
        <f t="shared" ref="H14:H19" si="13">G14*(1+$C$11)</f>
        <v>123.35596320781252</v>
      </c>
      <c r="I14" s="3">
        <f t="shared" ref="I14:I19" si="14">H14*(1+$C$11)</f>
        <v>125.51469256394925</v>
      </c>
      <c r="J14" s="3">
        <f t="shared" ref="J14:J19" si="15">I14*(1+$C$11)</f>
        <v>127.71119968381838</v>
      </c>
      <c r="K14" s="3">
        <f t="shared" ref="K14:K19" si="16">J14*(1+$C$11)</f>
        <v>129.94614567828521</v>
      </c>
      <c r="L14" s="3">
        <f t="shared" ref="L14:L19" si="17">K14*(1+$C$11)</f>
        <v>132.22020322765522</v>
      </c>
      <c r="M14" s="3">
        <f t="shared" ref="M14:M19" si="18">L14*(1+$C$11)</f>
        <v>134.53405678413918</v>
      </c>
      <c r="N14" s="3">
        <f t="shared" ref="N14:N19" si="19">M14*(1+$C$11)</f>
        <v>136.88840277786161</v>
      </c>
      <c r="O14" s="3">
        <f t="shared" ref="O14:O19" si="20">N14*(1+$C$11)</f>
        <v>139.28394982647421</v>
      </c>
      <c r="P14" s="3">
        <f t="shared" ref="P14:P19" si="21">O14*(1+$C$11)</f>
        <v>141.72141894843753</v>
      </c>
      <c r="Q14" s="3">
        <f t="shared" ref="Q14:Q19" si="22">P14*(1+$C$11)</f>
        <v>144.20154378003519</v>
      </c>
      <c r="R14" s="3">
        <f t="shared" ref="R14:R19" si="23">Q14*(1+$C$11)</f>
        <v>146.72507079618583</v>
      </c>
      <c r="S14" s="3">
        <f t="shared" ref="S14:S19" si="24">R14*(1+$C$11)</f>
        <v>149.2927595351191</v>
      </c>
      <c r="T14" s="3">
        <f t="shared" ref="T14:T19" si="25">S14*(1+$C$11)</f>
        <v>151.9053828269837</v>
      </c>
      <c r="U14" s="3">
        <f t="shared" ref="U14:U19" si="26">T14*(1+$C$11)</f>
        <v>154.56372702645592</v>
      </c>
      <c r="V14" s="3">
        <f>U14*(1-$C$12)</f>
        <v>154.56372702645592</v>
      </c>
      <c r="W14" s="3">
        <f t="shared" ref="W14:W19" si="27">V14*(1+$C$11)</f>
        <v>157.2685922494189</v>
      </c>
      <c r="X14" s="3">
        <f t="shared" ref="X14:X19" si="28">W14*(1+$C$11)</f>
        <v>160.02079261378375</v>
      </c>
      <c r="Y14" s="3">
        <f t="shared" ref="Y14:Y19" si="29">X14*(1+$C$11)</f>
        <v>162.82115648452498</v>
      </c>
      <c r="Z14" s="3">
        <f t="shared" ref="Z14:Z19" si="30">Y14*(1+$C$11)</f>
        <v>165.67052672300417</v>
      </c>
      <c r="AA14" s="3">
        <f t="shared" ref="AA14:AA19" si="31">Z14*(1+$C$11)</f>
        <v>168.56976094065675</v>
      </c>
      <c r="AB14" s="3">
        <f t="shared" ref="AB14:AB19" si="32">AA14*(1+$C$11)</f>
        <v>171.51973175711825</v>
      </c>
      <c r="AC14" s="3">
        <f t="shared" ref="AC14:AC19" si="33">AB14*(1+$C$11)</f>
        <v>174.52132706286784</v>
      </c>
      <c r="AD14" s="3">
        <f t="shared" ref="AD14:AD19" si="34">AC14*(1+$C$11)</f>
        <v>177.57545028646803</v>
      </c>
    </row>
    <row r="15" spans="1:30" x14ac:dyDescent="0.25">
      <c r="A15" s="78" t="s">
        <v>1</v>
      </c>
      <c r="B15" s="4">
        <f t="shared" ref="B15:B19" si="35">E15</f>
        <v>131.4</v>
      </c>
      <c r="C15" s="82">
        <v>7.92</v>
      </c>
      <c r="D15" s="83">
        <f t="shared" si="11"/>
        <v>163.47872497204295</v>
      </c>
      <c r="E15" s="191">
        <v>131.4</v>
      </c>
      <c r="F15" s="3">
        <f t="shared" ref="F15:F19" si="36">E15*(1+$C$11)</f>
        <v>133.69950000000003</v>
      </c>
      <c r="G15" s="3">
        <f t="shared" si="12"/>
        <v>136.03924125000003</v>
      </c>
      <c r="H15" s="3">
        <f t="shared" si="13"/>
        <v>138.41992797187504</v>
      </c>
      <c r="I15" s="3">
        <f t="shared" si="14"/>
        <v>140.84227671138285</v>
      </c>
      <c r="J15" s="3">
        <f t="shared" si="15"/>
        <v>143.30701655383206</v>
      </c>
      <c r="K15" s="3">
        <f t="shared" si="16"/>
        <v>145.81488934352413</v>
      </c>
      <c r="L15" s="3">
        <f t="shared" si="17"/>
        <v>148.36664990703582</v>
      </c>
      <c r="M15" s="3">
        <f t="shared" si="18"/>
        <v>150.96306628040895</v>
      </c>
      <c r="N15" s="3">
        <f t="shared" si="19"/>
        <v>153.60491994031611</v>
      </c>
      <c r="O15" s="3">
        <f t="shared" si="20"/>
        <v>156.29300603927166</v>
      </c>
      <c r="P15" s="3">
        <f t="shared" si="21"/>
        <v>159.02813364495893</v>
      </c>
      <c r="Q15" s="3">
        <f t="shared" si="22"/>
        <v>161.81112598374571</v>
      </c>
      <c r="R15" s="3">
        <f t="shared" si="23"/>
        <v>164.64282068846128</v>
      </c>
      <c r="S15" s="3">
        <f t="shared" si="24"/>
        <v>167.52407005050938</v>
      </c>
      <c r="T15" s="3">
        <f t="shared" si="25"/>
        <v>170.4557412763933</v>
      </c>
      <c r="U15" s="3">
        <f t="shared" si="26"/>
        <v>173.4387167487302</v>
      </c>
      <c r="V15" s="3">
        <f t="shared" ref="V15:V19" si="37">U15*(1-$C$12)</f>
        <v>173.4387167487302</v>
      </c>
      <c r="W15" s="3">
        <f t="shared" si="27"/>
        <v>176.47389429183301</v>
      </c>
      <c r="X15" s="3">
        <f t="shared" si="28"/>
        <v>179.5621874419401</v>
      </c>
      <c r="Y15" s="3">
        <f t="shared" si="29"/>
        <v>182.70452572217405</v>
      </c>
      <c r="Z15" s="3">
        <f t="shared" si="30"/>
        <v>185.90185492231211</v>
      </c>
      <c r="AA15" s="3">
        <f t="shared" si="31"/>
        <v>189.1551373834526</v>
      </c>
      <c r="AB15" s="3">
        <f t="shared" si="32"/>
        <v>192.46535228766302</v>
      </c>
      <c r="AC15" s="3">
        <f t="shared" si="33"/>
        <v>195.83349595269715</v>
      </c>
      <c r="AD15" s="3">
        <f t="shared" si="34"/>
        <v>199.26058213186937</v>
      </c>
    </row>
    <row r="16" spans="1:30" x14ac:dyDescent="0.25">
      <c r="A16" s="78" t="s">
        <v>2</v>
      </c>
      <c r="B16" s="4">
        <f t="shared" si="35"/>
        <v>125.3</v>
      </c>
      <c r="C16" s="82">
        <v>16.32</v>
      </c>
      <c r="D16" s="83">
        <f t="shared" si="11"/>
        <v>155.88952997714597</v>
      </c>
      <c r="E16" s="191">
        <v>125.3</v>
      </c>
      <c r="F16" s="3">
        <f t="shared" si="36"/>
        <v>127.49275</v>
      </c>
      <c r="G16" s="3">
        <f t="shared" si="12"/>
        <v>129.72387312500001</v>
      </c>
      <c r="H16" s="3">
        <f t="shared" si="13"/>
        <v>131.99404090468752</v>
      </c>
      <c r="I16" s="3">
        <f t="shared" si="14"/>
        <v>134.30393662051955</v>
      </c>
      <c r="J16" s="3">
        <f t="shared" si="15"/>
        <v>136.65425551137866</v>
      </c>
      <c r="K16" s="3">
        <f t="shared" si="16"/>
        <v>139.0457049828278</v>
      </c>
      <c r="L16" s="3">
        <f t="shared" si="17"/>
        <v>141.47900482002728</v>
      </c>
      <c r="M16" s="3">
        <f t="shared" si="18"/>
        <v>143.95488740437779</v>
      </c>
      <c r="N16" s="3">
        <f t="shared" si="19"/>
        <v>146.4740979339544</v>
      </c>
      <c r="O16" s="3">
        <f t="shared" si="20"/>
        <v>149.03739464779861</v>
      </c>
      <c r="P16" s="3">
        <f t="shared" si="21"/>
        <v>151.6455490541351</v>
      </c>
      <c r="Q16" s="3">
        <f t="shared" si="22"/>
        <v>154.29934616258248</v>
      </c>
      <c r="R16" s="3">
        <f t="shared" si="23"/>
        <v>156.99958472042769</v>
      </c>
      <c r="S16" s="3">
        <f t="shared" si="24"/>
        <v>159.74707745303519</v>
      </c>
      <c r="T16" s="3">
        <f t="shared" si="25"/>
        <v>162.54265130846332</v>
      </c>
      <c r="U16" s="3">
        <f t="shared" si="26"/>
        <v>165.38714770636145</v>
      </c>
      <c r="V16" s="3">
        <f t="shared" si="37"/>
        <v>165.38714770636145</v>
      </c>
      <c r="W16" s="3">
        <f t="shared" si="27"/>
        <v>168.28142279122278</v>
      </c>
      <c r="X16" s="3">
        <f t="shared" si="28"/>
        <v>171.22634769006919</v>
      </c>
      <c r="Y16" s="3">
        <f t="shared" si="29"/>
        <v>174.22280877464542</v>
      </c>
      <c r="Z16" s="3">
        <f t="shared" si="30"/>
        <v>177.27170792820172</v>
      </c>
      <c r="AA16" s="3">
        <f t="shared" si="31"/>
        <v>180.37396281694527</v>
      </c>
      <c r="AB16" s="3">
        <f t="shared" si="32"/>
        <v>183.53050716624182</v>
      </c>
      <c r="AC16" s="3">
        <f t="shared" si="33"/>
        <v>186.74229104165107</v>
      </c>
      <c r="AD16" s="3">
        <f t="shared" si="34"/>
        <v>190.01028113487999</v>
      </c>
    </row>
    <row r="17" spans="1:30" x14ac:dyDescent="0.25">
      <c r="A17" s="78" t="s">
        <v>3</v>
      </c>
      <c r="B17" s="4">
        <f t="shared" si="35"/>
        <v>125.7</v>
      </c>
      <c r="C17" s="82">
        <v>18.97</v>
      </c>
      <c r="D17" s="83">
        <f t="shared" si="11"/>
        <v>156.38718210795889</v>
      </c>
      <c r="E17" s="191">
        <v>125.7</v>
      </c>
      <c r="F17" s="3">
        <f t="shared" si="36"/>
        <v>127.89975000000001</v>
      </c>
      <c r="G17" s="3">
        <f t="shared" si="12"/>
        <v>130.13799562500003</v>
      </c>
      <c r="H17" s="3">
        <f t="shared" si="13"/>
        <v>132.41541054843753</v>
      </c>
      <c r="I17" s="3">
        <f t="shared" si="14"/>
        <v>134.73268023303521</v>
      </c>
      <c r="J17" s="3">
        <f t="shared" si="15"/>
        <v>137.09050213711333</v>
      </c>
      <c r="K17" s="3">
        <f t="shared" si="16"/>
        <v>139.48958592451282</v>
      </c>
      <c r="L17" s="3">
        <f t="shared" si="17"/>
        <v>141.93065367819182</v>
      </c>
      <c r="M17" s="3">
        <f t="shared" si="18"/>
        <v>144.41444011756019</v>
      </c>
      <c r="N17" s="3">
        <f t="shared" si="19"/>
        <v>146.94169281961751</v>
      </c>
      <c r="O17" s="3">
        <f t="shared" si="20"/>
        <v>149.51317244396083</v>
      </c>
      <c r="P17" s="3">
        <f t="shared" si="21"/>
        <v>152.12965296173016</v>
      </c>
      <c r="Q17" s="3">
        <f t="shared" si="22"/>
        <v>154.79192188856044</v>
      </c>
      <c r="R17" s="3">
        <f t="shared" si="23"/>
        <v>157.50078052161027</v>
      </c>
      <c r="S17" s="3">
        <f t="shared" si="24"/>
        <v>160.25704418073846</v>
      </c>
      <c r="T17" s="3">
        <f t="shared" si="25"/>
        <v>163.06154245390138</v>
      </c>
      <c r="U17" s="3">
        <f t="shared" si="26"/>
        <v>165.91511944684467</v>
      </c>
      <c r="V17" s="3">
        <f t="shared" si="37"/>
        <v>165.91511944684467</v>
      </c>
      <c r="W17" s="3">
        <f t="shared" si="27"/>
        <v>168.81863403716446</v>
      </c>
      <c r="X17" s="3">
        <f t="shared" si="28"/>
        <v>171.77296013281486</v>
      </c>
      <c r="Y17" s="3">
        <f t="shared" si="29"/>
        <v>174.77898693513913</v>
      </c>
      <c r="Z17" s="3">
        <f t="shared" si="30"/>
        <v>177.83761920650409</v>
      </c>
      <c r="AA17" s="3">
        <f t="shared" si="31"/>
        <v>180.94977754261791</v>
      </c>
      <c r="AB17" s="3">
        <f t="shared" si="32"/>
        <v>184.11639864961373</v>
      </c>
      <c r="AC17" s="3">
        <f t="shared" si="33"/>
        <v>187.33843562598199</v>
      </c>
      <c r="AD17" s="3">
        <f t="shared" si="34"/>
        <v>190.61685824943669</v>
      </c>
    </row>
    <row r="18" spans="1:30" x14ac:dyDescent="0.25">
      <c r="A18" s="78" t="s">
        <v>4</v>
      </c>
      <c r="B18" s="4">
        <f t="shared" si="35"/>
        <v>140.1</v>
      </c>
      <c r="C18" s="82">
        <v>21.02</v>
      </c>
      <c r="D18" s="83">
        <f t="shared" si="11"/>
        <v>174.30265881722386</v>
      </c>
      <c r="E18" s="191">
        <v>140.1</v>
      </c>
      <c r="F18" s="3">
        <f t="shared" si="36"/>
        <v>142.55175</v>
      </c>
      <c r="G18" s="3">
        <f t="shared" si="12"/>
        <v>145.04640562500001</v>
      </c>
      <c r="H18" s="3">
        <f t="shared" si="13"/>
        <v>147.58471772343751</v>
      </c>
      <c r="I18" s="3">
        <f t="shared" si="14"/>
        <v>150.16745028359767</v>
      </c>
      <c r="J18" s="3">
        <f t="shared" si="15"/>
        <v>152.79538066356065</v>
      </c>
      <c r="K18" s="3">
        <f t="shared" si="16"/>
        <v>155.46929982517298</v>
      </c>
      <c r="L18" s="3">
        <f t="shared" si="17"/>
        <v>158.19001257211352</v>
      </c>
      <c r="M18" s="3">
        <f t="shared" si="18"/>
        <v>160.95833779212552</v>
      </c>
      <c r="N18" s="3">
        <f t="shared" si="19"/>
        <v>163.77510870348772</v>
      </c>
      <c r="O18" s="3">
        <f t="shared" si="20"/>
        <v>166.64117310579877</v>
      </c>
      <c r="P18" s="3">
        <f t="shared" si="21"/>
        <v>169.55739363515025</v>
      </c>
      <c r="Q18" s="3">
        <f t="shared" si="22"/>
        <v>172.52464802376539</v>
      </c>
      <c r="R18" s="3">
        <f t="shared" si="23"/>
        <v>175.54382936418131</v>
      </c>
      <c r="S18" s="3">
        <f t="shared" si="24"/>
        <v>178.6158463780545</v>
      </c>
      <c r="T18" s="3">
        <f t="shared" si="25"/>
        <v>181.74162368967046</v>
      </c>
      <c r="U18" s="3">
        <f t="shared" si="26"/>
        <v>184.92210210423971</v>
      </c>
      <c r="V18" s="3">
        <f t="shared" si="37"/>
        <v>184.92210210423971</v>
      </c>
      <c r="W18" s="3">
        <f t="shared" si="27"/>
        <v>188.15823889106392</v>
      </c>
      <c r="X18" s="3">
        <f t="shared" si="28"/>
        <v>191.45100807165755</v>
      </c>
      <c r="Y18" s="3">
        <f t="shared" si="29"/>
        <v>194.80140071291157</v>
      </c>
      <c r="Z18" s="3">
        <f t="shared" si="30"/>
        <v>198.21042522538755</v>
      </c>
      <c r="AA18" s="3">
        <f t="shared" si="31"/>
        <v>201.67910766683184</v>
      </c>
      <c r="AB18" s="3">
        <f t="shared" si="32"/>
        <v>205.2084920510014</v>
      </c>
      <c r="AC18" s="3">
        <f t="shared" si="33"/>
        <v>208.79964066189393</v>
      </c>
      <c r="AD18" s="3">
        <f t="shared" si="34"/>
        <v>212.45363437347709</v>
      </c>
    </row>
    <row r="19" spans="1:30" x14ac:dyDescent="0.25">
      <c r="A19" s="78" t="s">
        <v>248</v>
      </c>
      <c r="B19" s="4">
        <f t="shared" si="35"/>
        <v>140.1</v>
      </c>
      <c r="C19" s="82">
        <v>20.76</v>
      </c>
      <c r="D19" s="83">
        <f t="shared" si="11"/>
        <v>174.30265881722386</v>
      </c>
      <c r="E19" s="191">
        <v>140.1</v>
      </c>
      <c r="F19" s="5">
        <f t="shared" si="36"/>
        <v>142.55175</v>
      </c>
      <c r="G19" s="5">
        <f t="shared" si="12"/>
        <v>145.04640562500001</v>
      </c>
      <c r="H19" s="5">
        <f t="shared" si="13"/>
        <v>147.58471772343751</v>
      </c>
      <c r="I19" s="5">
        <f t="shared" si="14"/>
        <v>150.16745028359767</v>
      </c>
      <c r="J19" s="5">
        <f t="shared" si="15"/>
        <v>152.79538066356065</v>
      </c>
      <c r="K19" s="5">
        <f t="shared" si="16"/>
        <v>155.46929982517298</v>
      </c>
      <c r="L19" s="5">
        <f t="shared" si="17"/>
        <v>158.19001257211352</v>
      </c>
      <c r="M19" s="5">
        <f t="shared" si="18"/>
        <v>160.95833779212552</v>
      </c>
      <c r="N19" s="5">
        <f t="shared" si="19"/>
        <v>163.77510870348772</v>
      </c>
      <c r="O19" s="5">
        <f t="shared" si="20"/>
        <v>166.64117310579877</v>
      </c>
      <c r="P19" s="5">
        <f t="shared" si="21"/>
        <v>169.55739363515025</v>
      </c>
      <c r="Q19" s="5">
        <f t="shared" si="22"/>
        <v>172.52464802376539</v>
      </c>
      <c r="R19" s="5">
        <f t="shared" si="23"/>
        <v>175.54382936418131</v>
      </c>
      <c r="S19" s="5">
        <f t="shared" si="24"/>
        <v>178.6158463780545</v>
      </c>
      <c r="T19" s="5">
        <f t="shared" si="25"/>
        <v>181.74162368967046</v>
      </c>
      <c r="U19" s="5">
        <f t="shared" si="26"/>
        <v>184.92210210423971</v>
      </c>
      <c r="V19" s="3">
        <f t="shared" si="37"/>
        <v>184.92210210423971</v>
      </c>
      <c r="W19" s="5">
        <f t="shared" si="27"/>
        <v>188.15823889106392</v>
      </c>
      <c r="X19" s="5">
        <f t="shared" si="28"/>
        <v>191.45100807165755</v>
      </c>
      <c r="Y19" s="5">
        <f t="shared" si="29"/>
        <v>194.80140071291157</v>
      </c>
      <c r="Z19" s="5">
        <f t="shared" si="30"/>
        <v>198.21042522538755</v>
      </c>
      <c r="AA19" s="5">
        <f t="shared" si="31"/>
        <v>201.67910766683184</v>
      </c>
      <c r="AB19" s="5">
        <f t="shared" si="32"/>
        <v>205.2084920510014</v>
      </c>
      <c r="AC19" s="5">
        <f t="shared" si="33"/>
        <v>208.79964066189393</v>
      </c>
      <c r="AD19" s="5">
        <f t="shared" si="34"/>
        <v>212.45363437347709</v>
      </c>
    </row>
    <row r="20" spans="1:30" ht="15.75" thickBot="1" x14ac:dyDescent="0.3">
      <c r="A20" s="80" t="s">
        <v>249</v>
      </c>
      <c r="B20" s="87">
        <f>E20</f>
        <v>0</v>
      </c>
      <c r="C20" s="189"/>
      <c r="D20" s="190">
        <f t="shared" si="11"/>
        <v>156.84653298440369</v>
      </c>
      <c r="E20" s="87"/>
      <c r="F20" s="87">
        <f t="shared" ref="F20:AD20" si="38">0.392*F14+0.217*F15+0.146*F16+0.145*F17+0.068*F18+0.033*F19</f>
        <v>127.27642949999999</v>
      </c>
      <c r="G20" s="87">
        <f t="shared" si="38"/>
        <v>129.50376701625001</v>
      </c>
      <c r="H20" s="87">
        <f t="shared" si="38"/>
        <v>131.77008293903441</v>
      </c>
      <c r="I20" s="87">
        <f t="shared" si="38"/>
        <v>134.07605939046752</v>
      </c>
      <c r="J20" s="87">
        <f t="shared" si="38"/>
        <v>136.42239042980071</v>
      </c>
      <c r="K20" s="87">
        <f t="shared" si="38"/>
        <v>138.80978226232222</v>
      </c>
      <c r="L20" s="87">
        <f t="shared" si="38"/>
        <v>141.23895345191286</v>
      </c>
      <c r="M20" s="87">
        <f t="shared" si="38"/>
        <v>143.71063513732139</v>
      </c>
      <c r="N20" s="87">
        <f t="shared" si="38"/>
        <v>146.22557125222451</v>
      </c>
      <c r="O20" s="87">
        <f t="shared" si="38"/>
        <v>148.78451874913841</v>
      </c>
      <c r="P20" s="87">
        <f t="shared" si="38"/>
        <v>151.38824782724836</v>
      </c>
      <c r="Q20" s="87">
        <f t="shared" si="38"/>
        <v>154.03754216422524</v>
      </c>
      <c r="R20" s="87">
        <f t="shared" si="38"/>
        <v>156.73319915209919</v>
      </c>
      <c r="S20" s="87">
        <f t="shared" si="38"/>
        <v>159.47603013726095</v>
      </c>
      <c r="T20" s="87">
        <f t="shared" si="38"/>
        <v>162.26686066466303</v>
      </c>
      <c r="U20" s="87">
        <f t="shared" si="38"/>
        <v>165.10653072629464</v>
      </c>
      <c r="V20" s="87">
        <f t="shared" si="38"/>
        <v>165.10653072629464</v>
      </c>
      <c r="W20" s="87">
        <f t="shared" si="38"/>
        <v>167.99589501400482</v>
      </c>
      <c r="X20" s="87">
        <f t="shared" si="38"/>
        <v>170.93582317674992</v>
      </c>
      <c r="Y20" s="87">
        <f t="shared" si="38"/>
        <v>173.92720008234306</v>
      </c>
      <c r="Z20" s="87">
        <f t="shared" si="38"/>
        <v>176.97092608378404</v>
      </c>
      <c r="AA20" s="87">
        <f t="shared" si="38"/>
        <v>180.06791729025031</v>
      </c>
      <c r="AB20" s="87">
        <f t="shared" si="38"/>
        <v>183.21910584282966</v>
      </c>
      <c r="AC20" s="87">
        <f t="shared" si="38"/>
        <v>186.4254401950792</v>
      </c>
      <c r="AD20" s="87">
        <f t="shared" si="38"/>
        <v>189.68788539849311</v>
      </c>
    </row>
  </sheetData>
  <mergeCells count="2">
    <mergeCell ref="A11:B11"/>
    <mergeCell ref="B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0EB-1A9D-4335-81D8-7017EBA9950D}">
  <dimension ref="A1:P49"/>
  <sheetViews>
    <sheetView topLeftCell="A26" workbookViewId="0">
      <selection activeCell="J37" sqref="J37"/>
    </sheetView>
  </sheetViews>
  <sheetFormatPr defaultRowHeight="15" x14ac:dyDescent="0.25"/>
  <cols>
    <col min="1" max="1" width="10.42578125" bestFit="1" customWidth="1"/>
    <col min="2" max="2" width="9.85546875" bestFit="1" customWidth="1"/>
    <col min="3" max="3" width="7.7109375" bestFit="1" customWidth="1"/>
    <col min="4" max="6" width="9.85546875" bestFit="1" customWidth="1"/>
    <col min="7" max="7" width="7.7109375" bestFit="1" customWidth="1"/>
    <col min="8" max="8" width="9" bestFit="1" customWidth="1"/>
    <col min="9" max="9" width="6.85546875" bestFit="1" customWidth="1"/>
    <col min="10" max="10" width="9.85546875" bestFit="1" customWidth="1"/>
    <col min="11" max="12" width="10.7109375" bestFit="1" customWidth="1"/>
    <col min="13" max="13" width="9.28515625" bestFit="1" customWidth="1"/>
    <col min="14" max="14" width="9.28515625" customWidth="1"/>
    <col min="15" max="15" width="16.7109375" customWidth="1"/>
  </cols>
  <sheetData>
    <row r="1" spans="1:16" x14ac:dyDescent="0.25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6" x14ac:dyDescent="0.25">
      <c r="A2" s="414" t="s">
        <v>252</v>
      </c>
      <c r="B2" s="415"/>
      <c r="C2" s="415"/>
      <c r="D2" s="415"/>
      <c r="E2" s="415"/>
      <c r="F2" s="415"/>
      <c r="G2" s="415"/>
      <c r="H2" s="415"/>
      <c r="I2" s="415"/>
      <c r="J2" s="416"/>
      <c r="K2" s="383"/>
      <c r="L2" s="383"/>
      <c r="M2" s="383"/>
      <c r="N2" s="357"/>
      <c r="O2" s="192"/>
      <c r="P2" s="192"/>
    </row>
    <row r="3" spans="1:16" x14ac:dyDescent="0.25">
      <c r="A3" s="384"/>
      <c r="B3" s="422" t="s">
        <v>199</v>
      </c>
      <c r="C3" s="423"/>
      <c r="D3" s="417" t="s">
        <v>253</v>
      </c>
      <c r="E3" s="418"/>
      <c r="F3" s="417" t="s">
        <v>254</v>
      </c>
      <c r="G3" s="418"/>
      <c r="H3" s="419" t="s">
        <v>255</v>
      </c>
      <c r="I3" s="420"/>
      <c r="J3" s="421"/>
      <c r="N3" s="357"/>
      <c r="O3" s="192"/>
      <c r="P3" s="343"/>
    </row>
    <row r="4" spans="1:16" x14ac:dyDescent="0.25">
      <c r="A4" s="385"/>
      <c r="B4" s="382"/>
      <c r="C4" s="382"/>
      <c r="D4" s="382"/>
      <c r="E4" s="382"/>
      <c r="F4" s="382"/>
      <c r="G4" s="382"/>
      <c r="H4" s="381"/>
      <c r="I4" s="381"/>
      <c r="J4" s="386"/>
      <c r="N4" s="357"/>
      <c r="O4" s="192"/>
      <c r="P4" s="343"/>
    </row>
    <row r="5" spans="1:16" x14ac:dyDescent="0.25">
      <c r="A5" s="345"/>
      <c r="B5" s="393" t="s">
        <v>256</v>
      </c>
      <c r="C5" s="393" t="s">
        <v>257</v>
      </c>
      <c r="D5" s="344" t="s">
        <v>258</v>
      </c>
      <c r="E5" s="344" t="s">
        <v>259</v>
      </c>
      <c r="F5" s="344" t="s">
        <v>258</v>
      </c>
      <c r="G5" s="344" t="s">
        <v>259</v>
      </c>
      <c r="H5" s="345" t="s">
        <v>260</v>
      </c>
      <c r="I5" s="345" t="s">
        <v>261</v>
      </c>
      <c r="J5" s="345" t="s">
        <v>262</v>
      </c>
      <c r="N5" s="357"/>
      <c r="O5" s="192"/>
      <c r="P5" s="192"/>
    </row>
    <row r="6" spans="1:16" x14ac:dyDescent="0.25">
      <c r="A6" s="387" t="s">
        <v>263</v>
      </c>
      <c r="B6" s="395">
        <f>'Preço PPA'!B3</f>
        <v>135.79</v>
      </c>
      <c r="C6" s="396">
        <f>'Preço PPA'!D3</f>
        <v>168.94045710771474</v>
      </c>
      <c r="D6" s="213">
        <f t="shared" ref="D6:E12" si="0">M25</f>
        <v>173.28782520044024</v>
      </c>
      <c r="E6" s="213">
        <f t="shared" si="0"/>
        <v>160.64682710285342</v>
      </c>
      <c r="F6" s="213">
        <f t="shared" ref="F6:F11" si="1">(D6-E6)+G6</f>
        <v>179.71369828455437</v>
      </c>
      <c r="G6" s="246">
        <f t="shared" ref="G6:G12" si="2">1.04*E6</f>
        <v>167.07270018696755</v>
      </c>
      <c r="H6" s="347">
        <f>0.85*I6</f>
        <v>185.09698152346996</v>
      </c>
      <c r="I6" s="388">
        <f t="shared" ref="I6:I12" si="3">M37</f>
        <v>217.7611547334941</v>
      </c>
      <c r="J6" s="389">
        <f>1.15*I6</f>
        <v>250.4253279435182</v>
      </c>
      <c r="N6" s="357"/>
      <c r="O6" s="192"/>
      <c r="P6" s="192"/>
    </row>
    <row r="7" spans="1:16" x14ac:dyDescent="0.25">
      <c r="A7" s="387" t="s">
        <v>1</v>
      </c>
      <c r="B7" s="346">
        <f>'Preço PPA'!B4</f>
        <v>137.04</v>
      </c>
      <c r="C7" s="397">
        <f>'Preço PPA'!D4</f>
        <v>170.49562001650503</v>
      </c>
      <c r="D7" s="213">
        <f t="shared" si="0"/>
        <v>209.41121764586043</v>
      </c>
      <c r="E7" s="213">
        <f t="shared" si="0"/>
        <v>170.61371677612908</v>
      </c>
      <c r="F7" s="213">
        <f t="shared" si="1"/>
        <v>216.2357663169056</v>
      </c>
      <c r="G7" s="246">
        <f t="shared" si="2"/>
        <v>177.43826544717425</v>
      </c>
      <c r="H7" s="347">
        <f t="shared" ref="H7:H11" si="4">0.85*I7</f>
        <v>218.7376515818797</v>
      </c>
      <c r="I7" s="388">
        <f t="shared" si="3"/>
        <v>257.33841362574083</v>
      </c>
      <c r="J7" s="389">
        <f t="shared" ref="J7:J11" si="5">1.15*I7</f>
        <v>295.93917566960192</v>
      </c>
      <c r="N7" s="357"/>
      <c r="O7" s="192"/>
      <c r="P7" s="192"/>
    </row>
    <row r="8" spans="1:16" x14ac:dyDescent="0.25">
      <c r="A8" s="387" t="s">
        <v>2</v>
      </c>
      <c r="B8" s="346">
        <f>'Preço PPA'!B5</f>
        <v>153.97999999999999</v>
      </c>
      <c r="C8" s="397">
        <f>'Preço PPA'!D5</f>
        <v>191.57118775643207</v>
      </c>
      <c r="D8" s="213">
        <f t="shared" si="0"/>
        <v>226.82626418929303</v>
      </c>
      <c r="E8" s="213">
        <f t="shared" si="0"/>
        <v>194.73577267994381</v>
      </c>
      <c r="F8" s="213">
        <f t="shared" si="1"/>
        <v>234.61569509649078</v>
      </c>
      <c r="G8" s="246">
        <f t="shared" si="2"/>
        <v>202.52520358714156</v>
      </c>
      <c r="H8" s="347">
        <f t="shared" si="4"/>
        <v>213.88858029901613</v>
      </c>
      <c r="I8" s="388">
        <f t="shared" si="3"/>
        <v>251.63362388119543</v>
      </c>
      <c r="J8" s="389">
        <f t="shared" si="5"/>
        <v>289.37866746337471</v>
      </c>
      <c r="N8" s="357"/>
      <c r="O8" s="192"/>
      <c r="P8" s="192"/>
    </row>
    <row r="9" spans="1:16" x14ac:dyDescent="0.25">
      <c r="A9" s="387" t="s">
        <v>3</v>
      </c>
      <c r="B9" s="346">
        <f>'Preço PPA'!B6</f>
        <v>157.80000000000001</v>
      </c>
      <c r="C9" s="397">
        <f>'Preço PPA'!D6</f>
        <v>196.3237656056954</v>
      </c>
      <c r="D9" s="213">
        <f t="shared" si="0"/>
        <v>229.18471095050046</v>
      </c>
      <c r="E9" s="213">
        <f t="shared" si="0"/>
        <v>190.74699558240042</v>
      </c>
      <c r="F9" s="213">
        <f t="shared" si="1"/>
        <v>236.81459077379648</v>
      </c>
      <c r="G9" s="246">
        <f t="shared" si="2"/>
        <v>198.37687540569644</v>
      </c>
      <c r="H9" s="347">
        <f t="shared" si="4"/>
        <v>214.74872979187745</v>
      </c>
      <c r="I9" s="388">
        <f t="shared" si="3"/>
        <v>252.64556446103231</v>
      </c>
      <c r="J9" s="389">
        <f t="shared" si="5"/>
        <v>290.54239913018711</v>
      </c>
      <c r="N9" s="357"/>
      <c r="O9" s="192"/>
      <c r="P9" s="192"/>
    </row>
    <row r="10" spans="1:16" x14ac:dyDescent="0.25">
      <c r="A10" s="387" t="s">
        <v>264</v>
      </c>
      <c r="B10" s="346">
        <f>'Preço PPA'!B7</f>
        <v>191.69</v>
      </c>
      <c r="C10" s="397">
        <f>'Preço PPA'!D7</f>
        <v>238.48734238881974</v>
      </c>
      <c r="D10" s="213">
        <f t="shared" si="0"/>
        <v>352.08642820305352</v>
      </c>
      <c r="E10" s="213">
        <f t="shared" si="0"/>
        <v>309.63514817497219</v>
      </c>
      <c r="F10" s="213">
        <f t="shared" si="1"/>
        <v>364.4718341300524</v>
      </c>
      <c r="G10" s="246">
        <f t="shared" si="2"/>
        <v>322.02055410197107</v>
      </c>
      <c r="H10" s="347">
        <f t="shared" si="4"/>
        <v>345.02718678290563</v>
      </c>
      <c r="I10" s="388">
        <f t="shared" si="3"/>
        <v>405.9143373916537</v>
      </c>
      <c r="J10" s="389">
        <f t="shared" si="5"/>
        <v>466.80148800040172</v>
      </c>
      <c r="N10" s="357"/>
      <c r="O10" s="192"/>
      <c r="P10" s="192"/>
    </row>
    <row r="11" spans="1:16" x14ac:dyDescent="0.25">
      <c r="A11" s="390" t="s">
        <v>248</v>
      </c>
      <c r="B11" s="398">
        <f>'Preço PPA'!B8</f>
        <v>196.73</v>
      </c>
      <c r="C11" s="399">
        <f>'Preço PPA'!D8</f>
        <v>244.75775923706246</v>
      </c>
      <c r="D11" s="213">
        <f t="shared" si="0"/>
        <v>377.72192994695104</v>
      </c>
      <c r="E11" s="213">
        <f t="shared" si="0"/>
        <v>311.30351616178621</v>
      </c>
      <c r="F11" s="213">
        <f t="shared" si="1"/>
        <v>390.17407059342247</v>
      </c>
      <c r="G11" s="246">
        <f t="shared" si="2"/>
        <v>323.75565680825764</v>
      </c>
      <c r="H11" s="347">
        <f t="shared" si="4"/>
        <v>369.59541591374654</v>
      </c>
      <c r="I11" s="388">
        <f t="shared" si="3"/>
        <v>434.81813636911357</v>
      </c>
      <c r="J11" s="389">
        <f t="shared" si="5"/>
        <v>500.04085682448056</v>
      </c>
      <c r="N11" s="357"/>
      <c r="O11" s="192"/>
      <c r="P11" s="192"/>
    </row>
    <row r="12" spans="1:16" x14ac:dyDescent="0.25">
      <c r="A12" s="384" t="s">
        <v>265</v>
      </c>
      <c r="B12" s="394">
        <f>'Preço PPA'!B9</f>
        <v>148.5</v>
      </c>
      <c r="C12" s="394">
        <f>'Preço PPA'!D9</f>
        <v>183.97744541541039</v>
      </c>
      <c r="D12" s="288">
        <f t="shared" si="0"/>
        <v>209.21677002869833</v>
      </c>
      <c r="E12" s="288">
        <f t="shared" si="0"/>
        <v>182.20792274553767</v>
      </c>
      <c r="F12" s="288">
        <f>D12-E12+G12</f>
        <v>216.50508693851984</v>
      </c>
      <c r="G12" s="289">
        <f t="shared" si="2"/>
        <v>189.49623965535918</v>
      </c>
      <c r="H12" s="391">
        <f>0.85*I12</f>
        <v>221.02249848449978</v>
      </c>
      <c r="I12" s="391">
        <f t="shared" si="3"/>
        <v>260.02646880529386</v>
      </c>
      <c r="J12" s="392">
        <f>1.15*I12</f>
        <v>299.03043912608791</v>
      </c>
      <c r="N12" s="357"/>
      <c r="O12" s="192"/>
      <c r="P12" s="192"/>
    </row>
    <row r="13" spans="1:16" x14ac:dyDescent="0.25">
      <c r="A13" s="350"/>
      <c r="B13" s="351"/>
      <c r="C13" s="351"/>
      <c r="D13" s="351"/>
      <c r="E13" s="351"/>
      <c r="F13" s="260"/>
      <c r="G13" s="260"/>
      <c r="H13" s="260"/>
      <c r="I13" s="260"/>
      <c r="J13" s="260"/>
      <c r="K13" s="351"/>
      <c r="L13" s="351"/>
      <c r="M13" s="351"/>
      <c r="N13" s="357"/>
      <c r="O13" s="192"/>
      <c r="P13" s="192"/>
    </row>
    <row r="14" spans="1:16" x14ac:dyDescent="0.25">
      <c r="A14" s="350"/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7"/>
      <c r="O14" s="192"/>
      <c r="P14" s="192"/>
    </row>
    <row r="15" spans="1:16" x14ac:dyDescent="0.25">
      <c r="A15" s="352" t="s">
        <v>266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4"/>
      <c r="N15" s="357"/>
      <c r="O15" s="192"/>
      <c r="P15" s="192"/>
    </row>
    <row r="16" spans="1:16" x14ac:dyDescent="0.25">
      <c r="A16" s="355">
        <v>1</v>
      </c>
      <c r="B16" s="356" t="s">
        <v>267</v>
      </c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7"/>
      <c r="N16" s="357"/>
      <c r="O16" s="192"/>
      <c r="P16" s="192"/>
    </row>
    <row r="17" spans="1:16" x14ac:dyDescent="0.25">
      <c r="A17" s="355">
        <v>2</v>
      </c>
      <c r="B17" s="356" t="s">
        <v>268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7"/>
      <c r="N17" s="357"/>
      <c r="O17" s="192"/>
      <c r="P17" s="192"/>
    </row>
    <row r="18" spans="1:16" x14ac:dyDescent="0.25">
      <c r="A18" s="355">
        <v>3</v>
      </c>
      <c r="B18" s="356" t="s">
        <v>269</v>
      </c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7"/>
      <c r="N18" s="357"/>
      <c r="O18" s="192"/>
      <c r="P18" s="192"/>
    </row>
    <row r="19" spans="1:16" x14ac:dyDescent="0.25">
      <c r="A19" s="355">
        <v>4</v>
      </c>
      <c r="B19" s="356" t="s">
        <v>270</v>
      </c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7"/>
      <c r="N19" s="357"/>
      <c r="O19" s="192"/>
      <c r="P19" s="192"/>
    </row>
    <row r="20" spans="1:16" x14ac:dyDescent="0.25">
      <c r="A20" s="358">
        <v>5</v>
      </c>
      <c r="B20" s="359" t="s">
        <v>271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60"/>
      <c r="N20" s="357"/>
      <c r="O20" s="192"/>
      <c r="P20" s="192"/>
    </row>
    <row r="21" spans="1:16" ht="15.75" thickBot="1" x14ac:dyDescent="0.3">
      <c r="A21" s="353"/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7"/>
      <c r="O21" s="192"/>
      <c r="P21" s="192"/>
    </row>
    <row r="22" spans="1:16" x14ac:dyDescent="0.25">
      <c r="A22" s="412" t="s">
        <v>272</v>
      </c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192"/>
      <c r="P22" s="192"/>
    </row>
    <row r="23" spans="1:16" x14ac:dyDescent="0.25">
      <c r="A23" s="361"/>
      <c r="B23" s="362" t="s">
        <v>273</v>
      </c>
      <c r="C23" s="362" t="s">
        <v>274</v>
      </c>
      <c r="D23" s="409" t="s">
        <v>275</v>
      </c>
      <c r="E23" s="409"/>
      <c r="F23" s="409" t="s">
        <v>276</v>
      </c>
      <c r="G23" s="409"/>
      <c r="H23" s="362" t="s">
        <v>277</v>
      </c>
      <c r="I23" s="362" t="s">
        <v>278</v>
      </c>
      <c r="J23" s="362" t="s">
        <v>279</v>
      </c>
      <c r="K23" s="362" t="s">
        <v>6</v>
      </c>
      <c r="L23" s="362" t="s">
        <v>280</v>
      </c>
      <c r="M23" s="410" t="s">
        <v>281</v>
      </c>
      <c r="N23" s="411"/>
      <c r="O23" s="192"/>
      <c r="P23" s="192"/>
    </row>
    <row r="24" spans="1:16" x14ac:dyDescent="0.25">
      <c r="A24" s="361"/>
      <c r="B24" s="363" t="s">
        <v>194</v>
      </c>
      <c r="C24" s="363" t="s">
        <v>282</v>
      </c>
      <c r="D24" s="363" t="s">
        <v>194</v>
      </c>
      <c r="E24" s="363" t="s">
        <v>283</v>
      </c>
      <c r="F24" s="363" t="s">
        <v>194</v>
      </c>
      <c r="G24" s="363" t="s">
        <v>282</v>
      </c>
      <c r="H24" s="363" t="s">
        <v>194</v>
      </c>
      <c r="I24" s="363" t="s">
        <v>194</v>
      </c>
      <c r="J24" s="363" t="s">
        <v>194</v>
      </c>
      <c r="K24" s="363" t="s">
        <v>194</v>
      </c>
      <c r="L24" s="363" t="s">
        <v>284</v>
      </c>
      <c r="M24" s="363" t="s">
        <v>258</v>
      </c>
      <c r="N24" s="364" t="s">
        <v>259</v>
      </c>
      <c r="O24" s="192"/>
      <c r="P24" s="192"/>
    </row>
    <row r="25" spans="1:16" x14ac:dyDescent="0.25">
      <c r="A25" s="361" t="s">
        <v>0</v>
      </c>
      <c r="B25" s="265">
        <v>3435000</v>
      </c>
      <c r="C25" s="265">
        <v>176657</v>
      </c>
      <c r="D25" s="265">
        <v>557524</v>
      </c>
      <c r="E25" s="265">
        <f>D25/D$31*18377000</f>
        <v>590790.82469881291</v>
      </c>
      <c r="F25" s="265">
        <v>30892703</v>
      </c>
      <c r="G25" s="265">
        <f>(L25/SUM(L$25:L$28)*106308)</f>
        <v>55618.442079368426</v>
      </c>
      <c r="H25" s="265">
        <v>560340</v>
      </c>
      <c r="I25" s="265">
        <v>9958</v>
      </c>
      <c r="J25" s="265">
        <v>11632820</v>
      </c>
      <c r="K25" s="265">
        <f>SUM(B25:J25)-C25-E25-G25</f>
        <v>47088345</v>
      </c>
      <c r="L25" s="265">
        <v>271734872</v>
      </c>
      <c r="M25" s="213">
        <f t="shared" ref="M25:M31" si="6">K25/L25*1000</f>
        <v>173.28782520044024</v>
      </c>
      <c r="N25" s="246">
        <f t="shared" ref="N25:N31" si="7">(K25-B25)/L25*1000</f>
        <v>160.64682710285342</v>
      </c>
      <c r="O25" s="192"/>
      <c r="P25" s="192"/>
    </row>
    <row r="26" spans="1:16" x14ac:dyDescent="0.25">
      <c r="A26" s="361" t="s">
        <v>1</v>
      </c>
      <c r="B26" s="265">
        <v>5876849</v>
      </c>
      <c r="C26" s="265">
        <v>101573</v>
      </c>
      <c r="D26" s="265">
        <v>337116</v>
      </c>
      <c r="E26" s="265">
        <f t="shared" ref="E26:E30" si="8">D26/D$31*18377000</f>
        <v>357231.32934037823</v>
      </c>
      <c r="F26" s="265">
        <v>18479989</v>
      </c>
      <c r="G26" s="265">
        <f t="shared" ref="G26:G28" si="9">(L26/SUM(L$25:L$28)*106308)</f>
        <v>31003.749897843369</v>
      </c>
      <c r="H26" s="265">
        <v>318535</v>
      </c>
      <c r="I26" s="265">
        <v>8939</v>
      </c>
      <c r="J26" s="265">
        <v>6699123</v>
      </c>
      <c r="K26" s="265">
        <f t="shared" ref="K26:K30" si="10">SUM(B26:J26)-C26-E26-G26</f>
        <v>31720550.999999996</v>
      </c>
      <c r="L26" s="265">
        <v>151474937</v>
      </c>
      <c r="M26" s="213">
        <f t="shared" si="6"/>
        <v>209.41121764586043</v>
      </c>
      <c r="N26" s="246">
        <f t="shared" si="7"/>
        <v>170.61371677612908</v>
      </c>
      <c r="O26" s="192"/>
      <c r="P26" s="192"/>
    </row>
    <row r="27" spans="1:16" x14ac:dyDescent="0.25">
      <c r="A27" s="361" t="s">
        <v>2</v>
      </c>
      <c r="B27" s="265">
        <v>1548531</v>
      </c>
      <c r="C27" s="265">
        <v>32678</v>
      </c>
      <c r="D27" s="265">
        <v>342070</v>
      </c>
      <c r="E27" s="265">
        <f t="shared" si="8"/>
        <v>362480.92890121846</v>
      </c>
      <c r="F27" s="265">
        <v>6753154</v>
      </c>
      <c r="G27" s="265">
        <f t="shared" si="9"/>
        <v>9876.8163661732888</v>
      </c>
      <c r="H27" s="265">
        <v>142588</v>
      </c>
      <c r="I27" s="265">
        <v>843</v>
      </c>
      <c r="J27" s="265">
        <v>2158346</v>
      </c>
      <c r="K27" s="265">
        <f t="shared" si="10"/>
        <v>10945532</v>
      </c>
      <c r="L27" s="265">
        <v>48255135</v>
      </c>
      <c r="M27" s="213">
        <f t="shared" si="6"/>
        <v>226.82626418929303</v>
      </c>
      <c r="N27" s="246">
        <f t="shared" si="7"/>
        <v>194.73577267994381</v>
      </c>
      <c r="O27" s="192"/>
      <c r="P27" s="192"/>
    </row>
    <row r="28" spans="1:16" x14ac:dyDescent="0.25">
      <c r="A28" s="361" t="s">
        <v>3</v>
      </c>
      <c r="B28" s="265">
        <v>1842080</v>
      </c>
      <c r="C28" s="265">
        <v>32326</v>
      </c>
      <c r="D28" s="265">
        <v>265492</v>
      </c>
      <c r="E28" s="265">
        <f t="shared" si="8"/>
        <v>281333.60650113219</v>
      </c>
      <c r="F28" s="265">
        <v>6604958</v>
      </c>
      <c r="G28" s="265">
        <f t="shared" si="9"/>
        <v>9808.991656614915</v>
      </c>
      <c r="H28" s="265">
        <v>135398</v>
      </c>
      <c r="I28" s="265">
        <v>2133</v>
      </c>
      <c r="J28" s="265">
        <v>2133333</v>
      </c>
      <c r="K28" s="265">
        <f t="shared" si="10"/>
        <v>10983394</v>
      </c>
      <c r="L28" s="265">
        <v>47923764</v>
      </c>
      <c r="M28" s="213">
        <f t="shared" si="6"/>
        <v>229.18471095050046</v>
      </c>
      <c r="N28" s="246">
        <f t="shared" si="7"/>
        <v>190.74699558240042</v>
      </c>
      <c r="O28" s="192"/>
      <c r="P28" s="192"/>
    </row>
    <row r="29" spans="1:16" x14ac:dyDescent="0.25">
      <c r="A29" s="361" t="s">
        <v>4</v>
      </c>
      <c r="B29" s="265">
        <v>1247959</v>
      </c>
      <c r="C29" s="265">
        <f>C28/B28*B29</f>
        <v>21899.984058238515</v>
      </c>
      <c r="D29" s="265">
        <v>8980624</v>
      </c>
      <c r="E29" s="265">
        <f t="shared" si="8"/>
        <v>9516487.6476527508</v>
      </c>
      <c r="F29" s="265">
        <v>0</v>
      </c>
      <c r="G29" s="265"/>
      <c r="H29" s="265">
        <v>121484</v>
      </c>
      <c r="I29" s="265">
        <v>373</v>
      </c>
      <c r="J29" s="265"/>
      <c r="K29" s="265">
        <f t="shared" si="10"/>
        <v>10350440.000000002</v>
      </c>
      <c r="L29" s="265">
        <v>29397441</v>
      </c>
      <c r="M29" s="213">
        <f t="shared" si="6"/>
        <v>352.08642820305352</v>
      </c>
      <c r="N29" s="246">
        <f t="shared" si="7"/>
        <v>309.63514817497219</v>
      </c>
      <c r="O29" s="192"/>
      <c r="P29" s="192"/>
    </row>
    <row r="30" spans="1:16" x14ac:dyDescent="0.25">
      <c r="A30" s="365" t="s">
        <v>248</v>
      </c>
      <c r="B30" s="366">
        <v>1469045</v>
      </c>
      <c r="C30" s="265">
        <f>C29/B29*B30</f>
        <v>25779.742828758794</v>
      </c>
      <c r="D30" s="366">
        <v>6859384</v>
      </c>
      <c r="E30" s="265">
        <f t="shared" si="8"/>
        <v>7268675.6629057089</v>
      </c>
      <c r="F30" s="366"/>
      <c r="G30" s="366"/>
      <c r="H30" s="366">
        <v>25670</v>
      </c>
      <c r="I30" s="366">
        <v>369</v>
      </c>
      <c r="J30" s="366"/>
      <c r="K30" s="265">
        <f t="shared" si="10"/>
        <v>8354468.0000000009</v>
      </c>
      <c r="L30" s="366">
        <v>22118038</v>
      </c>
      <c r="M30" s="231">
        <f t="shared" si="6"/>
        <v>377.72192994695104</v>
      </c>
      <c r="N30" s="248">
        <f t="shared" si="7"/>
        <v>311.30351616178621</v>
      </c>
      <c r="O30" s="192"/>
      <c r="P30" s="192"/>
    </row>
    <row r="31" spans="1:16" ht="15.75" thickBot="1" x14ac:dyDescent="0.3">
      <c r="A31" s="367" t="s">
        <v>6</v>
      </c>
      <c r="B31" s="368">
        <f t="shared" ref="B31:I31" si="11">SUM(B25:B30)</f>
        <v>15419464</v>
      </c>
      <c r="C31" s="368">
        <f t="shared" si="11"/>
        <v>390913.72688699729</v>
      </c>
      <c r="D31" s="368">
        <f t="shared" si="11"/>
        <v>17342210</v>
      </c>
      <c r="E31" s="368">
        <f t="shared" si="11"/>
        <v>18377000</v>
      </c>
      <c r="F31" s="368">
        <f t="shared" si="11"/>
        <v>62730804</v>
      </c>
      <c r="G31" s="368">
        <f t="shared" si="11"/>
        <v>106308</v>
      </c>
      <c r="H31" s="368">
        <f t="shared" si="11"/>
        <v>1304015</v>
      </c>
      <c r="I31" s="368">
        <f t="shared" si="11"/>
        <v>22615</v>
      </c>
      <c r="J31" s="368">
        <f t="shared" ref="J31:L31" si="12">SUM(J25:J30)</f>
        <v>22623622</v>
      </c>
      <c r="K31" s="368">
        <f t="shared" si="12"/>
        <v>119442730</v>
      </c>
      <c r="L31" s="368">
        <f t="shared" si="12"/>
        <v>570904187</v>
      </c>
      <c r="M31" s="348">
        <f t="shared" si="6"/>
        <v>209.21677002869833</v>
      </c>
      <c r="N31" s="349">
        <f t="shared" si="7"/>
        <v>182.20792274553767</v>
      </c>
      <c r="O31" s="192"/>
      <c r="P31" s="192"/>
    </row>
    <row r="32" spans="1:16" x14ac:dyDescent="0.25">
      <c r="A32" s="146" t="s">
        <v>285</v>
      </c>
      <c r="B32" s="133"/>
      <c r="C32" s="133"/>
      <c r="D32" s="369"/>
      <c r="E32" s="370"/>
      <c r="F32" s="244"/>
      <c r="G32" s="133"/>
      <c r="H32" s="133"/>
      <c r="I32" s="133"/>
      <c r="J32" s="133"/>
      <c r="K32" s="133"/>
      <c r="L32" s="133"/>
      <c r="M32" s="133"/>
      <c r="N32" s="133"/>
      <c r="O32" s="192"/>
      <c r="P32" s="192"/>
    </row>
    <row r="33" spans="1:16" ht="15.75" thickBot="1" x14ac:dyDescent="0.3">
      <c r="A33" s="146"/>
      <c r="B33" s="133"/>
      <c r="C33" s="133"/>
      <c r="D33" s="369"/>
      <c r="E33" s="369"/>
      <c r="F33" s="133"/>
      <c r="G33" s="133"/>
      <c r="H33" s="133"/>
      <c r="I33" s="133"/>
      <c r="J33" s="133"/>
      <c r="K33" s="133"/>
      <c r="L33" s="133"/>
      <c r="M33" s="133"/>
      <c r="N33" s="133"/>
      <c r="O33" s="192"/>
      <c r="P33" s="192"/>
    </row>
    <row r="34" spans="1:16" x14ac:dyDescent="0.25">
      <c r="A34" s="412" t="s">
        <v>286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192"/>
      <c r="P34" s="192"/>
    </row>
    <row r="35" spans="1:16" x14ac:dyDescent="0.25">
      <c r="A35" s="361"/>
      <c r="B35" s="362" t="s">
        <v>273</v>
      </c>
      <c r="C35" s="362" t="s">
        <v>274</v>
      </c>
      <c r="D35" s="409" t="s">
        <v>275</v>
      </c>
      <c r="E35" s="409"/>
      <c r="F35" s="409" t="s">
        <v>276</v>
      </c>
      <c r="G35" s="409"/>
      <c r="H35" s="362" t="s">
        <v>287</v>
      </c>
      <c r="I35" s="362" t="s">
        <v>278</v>
      </c>
      <c r="J35" s="362" t="s">
        <v>279</v>
      </c>
      <c r="K35" s="362" t="s">
        <v>6</v>
      </c>
      <c r="L35" s="362" t="s">
        <v>280</v>
      </c>
      <c r="M35" s="410" t="s">
        <v>281</v>
      </c>
      <c r="N35" s="411"/>
      <c r="O35" s="192"/>
      <c r="P35" s="192"/>
    </row>
    <row r="36" spans="1:16" ht="29.25" customHeight="1" x14ac:dyDescent="0.25">
      <c r="A36" s="361"/>
      <c r="B36" s="363" t="s">
        <v>13</v>
      </c>
      <c r="C36" s="363" t="s">
        <v>288</v>
      </c>
      <c r="D36" s="363" t="s">
        <v>13</v>
      </c>
      <c r="E36" s="363" t="s">
        <v>289</v>
      </c>
      <c r="F36" s="363" t="s">
        <v>13</v>
      </c>
      <c r="G36" s="363" t="s">
        <v>282</v>
      </c>
      <c r="H36" s="363" t="s">
        <v>13</v>
      </c>
      <c r="I36" s="363" t="s">
        <v>194</v>
      </c>
      <c r="J36" s="363" t="s">
        <v>13</v>
      </c>
      <c r="K36" s="363" t="s">
        <v>13</v>
      </c>
      <c r="L36" s="363" t="s">
        <v>9</v>
      </c>
      <c r="M36" s="371" t="s">
        <v>258</v>
      </c>
      <c r="N36" s="371" t="s">
        <v>259</v>
      </c>
      <c r="O36" s="192"/>
      <c r="P36" s="192"/>
    </row>
    <row r="37" spans="1:16" x14ac:dyDescent="0.25">
      <c r="A37" s="361" t="s">
        <v>0</v>
      </c>
      <c r="B37" s="151">
        <f>25*B25/1000000</f>
        <v>85.875</v>
      </c>
      <c r="C37" s="151">
        <f>25*C25/1000000</f>
        <v>4.4164250000000003</v>
      </c>
      <c r="D37" s="151">
        <f>D25*'Preços de Petróleo'!$J$14*$L37/$L25</f>
        <v>7.321805143974391</v>
      </c>
      <c r="E37" s="151">
        <f>D37/D$31*18377000</f>
        <v>7.758688952031914</v>
      </c>
      <c r="F37" s="151">
        <f>F25*'Preços de Petróleo'!$J$14*$L37/$L25</f>
        <v>405.70513867864537</v>
      </c>
      <c r="G37" s="265">
        <f>(L37*1000000/SUM(L$25:L$28)*106308)</f>
        <v>835176.5202913183</v>
      </c>
      <c r="H37" s="151">
        <f>H25*'Preços de Petróleo'!$J$14*$L37/$L25</f>
        <v>7.3587868762144959</v>
      </c>
      <c r="I37" s="213">
        <f>I25*'Preços de Petróleo'!$J$14*$L37/$L25</f>
        <v>0.13077560001667549</v>
      </c>
      <c r="J37" s="151">
        <f>'Custos de CO2'!F$20*L37/1000</f>
        <v>382.16539191108757</v>
      </c>
      <c r="K37" s="151">
        <f>B37+D37+F37+H37+I37+J37</f>
        <v>888.55689820993848</v>
      </c>
      <c r="L37" s="265">
        <f>'Custos EDA - Todas as Fontes'!B32</f>
        <v>4080.4196657452267</v>
      </c>
      <c r="M37" s="213">
        <f>(K37*1000000)/(L37*1000)</f>
        <v>217.7611547334941</v>
      </c>
      <c r="N37" s="246">
        <f>((K37-B37)*1000000)/(L37*1000)</f>
        <v>196.7155253535278</v>
      </c>
      <c r="O37" s="192"/>
      <c r="P37" s="192"/>
    </row>
    <row r="38" spans="1:16" x14ac:dyDescent="0.25">
      <c r="A38" s="361" t="s">
        <v>1</v>
      </c>
      <c r="B38" s="151">
        <f t="shared" ref="B38:C42" si="13">25*B26/1000000</f>
        <v>146.92122499999999</v>
      </c>
      <c r="C38" s="151">
        <f t="shared" si="13"/>
        <v>2.5393249999999998</v>
      </c>
      <c r="D38" s="151">
        <f>D26*'Preços de Petróleo'!$J$14*$L38/$L26</f>
        <v>5.3809150761162918</v>
      </c>
      <c r="E38" s="151">
        <f t="shared" ref="E38:E42" si="14">D38/D$31*18377000</f>
        <v>5.7019881753126676</v>
      </c>
      <c r="F38" s="151">
        <f>F26*'Preços de Petróleo'!$J$14*$L38/$L26</f>
        <v>294.97042981218112</v>
      </c>
      <c r="G38" s="265">
        <f t="shared" ref="G38:G40" si="15">(L38*1000000/SUM(L$25:L$28)*106308)</f>
        <v>565842.87890999182</v>
      </c>
      <c r="H38" s="151">
        <f>H26*'Preços de Petróleo'!$J$14*$L38/$L26</f>
        <v>5.0843323478289468</v>
      </c>
      <c r="I38" s="213">
        <f>I26*'Preços de Petróleo'!$J$14*$L38/$L26</f>
        <v>0.14268085722838292</v>
      </c>
      <c r="J38" s="151">
        <f>'Custos de CO2'!F$20*L38/1000</f>
        <v>258.92198873515554</v>
      </c>
      <c r="K38" s="151">
        <f t="shared" ref="K38:K42" si="16">B38+D38+F38+H38+I38+J38</f>
        <v>711.4215718285102</v>
      </c>
      <c r="L38" s="265">
        <f>'Custos EDA - Todas as Fontes'!B33</f>
        <v>2764.537022689366</v>
      </c>
      <c r="M38" s="213">
        <f t="shared" ref="M38:M42" si="17">(K38*1000000)/(L38*1000)</f>
        <v>257.33841362574083</v>
      </c>
      <c r="N38" s="246">
        <f t="shared" ref="N38:N42" si="18">((K38-B38)*1000000)/(L38*1000)</f>
        <v>204.19344801516141</v>
      </c>
      <c r="O38" s="192"/>
      <c r="P38" s="192"/>
    </row>
    <row r="39" spans="1:16" x14ac:dyDescent="0.25">
      <c r="A39" s="361" t="s">
        <v>2</v>
      </c>
      <c r="B39" s="151">
        <f t="shared" si="13"/>
        <v>38.713275000000003</v>
      </c>
      <c r="C39" s="151">
        <f t="shared" si="13"/>
        <v>0.81694999999999995</v>
      </c>
      <c r="D39" s="151">
        <f>D27*'Preços de Petróleo'!$J$14*$L39/$L27</f>
        <v>8.9613485539928597</v>
      </c>
      <c r="E39" s="151">
        <f t="shared" si="14"/>
        <v>9.4960620576458705</v>
      </c>
      <c r="F39" s="151">
        <f>F27*'Preços de Petróleo'!$J$14*$L39/$L27</f>
        <v>176.91515430406378</v>
      </c>
      <c r="G39" s="265">
        <f t="shared" si="15"/>
        <v>295855.88910688763</v>
      </c>
      <c r="H39" s="151">
        <f>H27*'Preços de Petróleo'!$J$14*$L39/$L27</f>
        <v>3.7354365118739841</v>
      </c>
      <c r="I39" s="213">
        <f>I27*'Preços de Petróleo'!$J$14*$L39/$L27</f>
        <v>2.2084417899891781E-2</v>
      </c>
      <c r="J39" s="151">
        <f>'Custos de CO2'!F$20*L39/1000</f>
        <v>135.37962222680591</v>
      </c>
      <c r="K39" s="151">
        <f t="shared" si="16"/>
        <v>363.72692101463645</v>
      </c>
      <c r="L39" s="265">
        <f>'Custos EDA - Todas as Fontes'!B34</f>
        <v>1445.4623170167592</v>
      </c>
      <c r="M39" s="213">
        <f t="shared" si="17"/>
        <v>251.63362388119543</v>
      </c>
      <c r="N39" s="246">
        <f t="shared" si="18"/>
        <v>224.85099901145892</v>
      </c>
      <c r="O39" s="192"/>
      <c r="P39" s="192"/>
    </row>
    <row r="40" spans="1:16" x14ac:dyDescent="0.25">
      <c r="A40" s="361" t="s">
        <v>3</v>
      </c>
      <c r="B40" s="151">
        <f t="shared" si="13"/>
        <v>46.052</v>
      </c>
      <c r="C40" s="151">
        <f t="shared" si="13"/>
        <v>0.80815000000000003</v>
      </c>
      <c r="D40" s="151">
        <f>D28*'Preços de Petróleo'!$J$14*$L40/$L28</f>
        <v>7.1750510534014662</v>
      </c>
      <c r="E40" s="151">
        <f t="shared" si="14"/>
        <v>7.603178211332855</v>
      </c>
      <c r="F40" s="151">
        <f>F28*'Preços de Petróleo'!$J$14*$L40/$L28</f>
        <v>178.50221797859234</v>
      </c>
      <c r="G40" s="265">
        <f t="shared" si="15"/>
        <v>303111.75478723407</v>
      </c>
      <c r="H40" s="151">
        <f>H28*'Preços de Petróleo'!$J$14*$L40/$L28</f>
        <v>3.6591971228076616</v>
      </c>
      <c r="I40" s="213">
        <f>I28*'Preços de Petróleo'!$J$14*$L40/$L28</f>
        <v>5.764536745704324E-2</v>
      </c>
      <c r="J40" s="151">
        <f>'Custos de CO2'!F$20*L40/1000</f>
        <v>138.69980746191837</v>
      </c>
      <c r="K40" s="151">
        <f t="shared" si="16"/>
        <v>374.14591898417689</v>
      </c>
      <c r="L40" s="265">
        <f>'Custos EDA - Todas as Fontes'!B35</f>
        <v>1480.9122803415953</v>
      </c>
      <c r="M40" s="213">
        <f t="shared" si="17"/>
        <v>252.64556446103231</v>
      </c>
      <c r="N40" s="246">
        <f t="shared" si="18"/>
        <v>221.54851664036232</v>
      </c>
      <c r="O40" s="192"/>
      <c r="P40" s="192"/>
    </row>
    <row r="41" spans="1:16" x14ac:dyDescent="0.25">
      <c r="A41" s="361" t="s">
        <v>4</v>
      </c>
      <c r="B41" s="151">
        <f t="shared" si="13"/>
        <v>31.198975000000001</v>
      </c>
      <c r="C41" s="151">
        <f t="shared" si="13"/>
        <v>0.54749960145596288</v>
      </c>
      <c r="D41" s="151">
        <f>D29*'Preços de Petróleo'!$J$14*$L41/$L29</f>
        <v>201.05918697237715</v>
      </c>
      <c r="E41" s="151">
        <f t="shared" si="14"/>
        <v>213.05616060417759</v>
      </c>
      <c r="F41" s="151">
        <v>0</v>
      </c>
      <c r="G41" s="265"/>
      <c r="H41" s="151">
        <f>H29*'Preços de Petróleo'!$J$14*$L41/$L29</f>
        <v>2.7197970063274299</v>
      </c>
      <c r="I41" s="213">
        <f>I29*'Preços de Petróleo'!$J$14*$L41/$L29</f>
        <v>8.350764572784327E-3</v>
      </c>
      <c r="J41" s="151">
        <f>'Custos de CO2'!F$20*L41/1000</f>
        <v>70.482015821830856</v>
      </c>
      <c r="K41" s="151">
        <f t="shared" si="16"/>
        <v>305.46832556510822</v>
      </c>
      <c r="L41" s="265">
        <f>'Custos EDA - Todas as Fontes'!B36</f>
        <v>752.54381879685036</v>
      </c>
      <c r="M41" s="213">
        <f t="shared" si="17"/>
        <v>405.9143373916537</v>
      </c>
      <c r="N41" s="246">
        <f t="shared" si="18"/>
        <v>364.45631963810911</v>
      </c>
      <c r="O41" s="192"/>
      <c r="P41" s="192"/>
    </row>
    <row r="42" spans="1:16" x14ac:dyDescent="0.25">
      <c r="A42" s="365" t="s">
        <v>248</v>
      </c>
      <c r="B42" s="151">
        <f t="shared" si="13"/>
        <v>36.726125000000003</v>
      </c>
      <c r="C42" s="151">
        <f t="shared" si="13"/>
        <v>0.64449357071896984</v>
      </c>
      <c r="D42" s="151">
        <f>D30*'Preços de Petróleo'!$J$14*$L42/$L30</f>
        <v>144.56809629205981</v>
      </c>
      <c r="E42" s="151">
        <f t="shared" si="14"/>
        <v>153.19431061895705</v>
      </c>
      <c r="F42" s="200"/>
      <c r="G42" s="265"/>
      <c r="H42" s="151">
        <f>H30*'Preços de Petróleo'!$J$14*$L42/$L30</f>
        <v>0.54101986881288111</v>
      </c>
      <c r="I42" s="213">
        <f>I30*'Preços de Petróleo'!$J$14*$L42/$L30</f>
        <v>7.7770288894411024E-3</v>
      </c>
      <c r="J42" s="151">
        <f>'Custos de CO2'!F$20*L42/1000</f>
        <v>49.921235696134694</v>
      </c>
      <c r="K42" s="151">
        <f t="shared" si="16"/>
        <v>231.76425388589681</v>
      </c>
      <c r="L42" s="265">
        <f>'Custos EDA - Todas as Fontes'!B37</f>
        <v>533.01422939993006</v>
      </c>
      <c r="M42" s="213">
        <f t="shared" si="17"/>
        <v>434.81813636911357</v>
      </c>
      <c r="N42" s="246">
        <f t="shared" si="18"/>
        <v>365.91542613312902</v>
      </c>
      <c r="O42" s="194"/>
      <c r="P42" s="192"/>
    </row>
    <row r="43" spans="1:16" ht="15.75" thickBot="1" x14ac:dyDescent="0.3">
      <c r="A43" s="367" t="s">
        <v>6</v>
      </c>
      <c r="B43" s="400">
        <f>SUM(B32:B42)</f>
        <v>385.48660000000007</v>
      </c>
      <c r="C43" s="400">
        <f>SUM(C32:C42)</f>
        <v>9.772843172174932</v>
      </c>
      <c r="D43" s="400">
        <f>SUM(D37:D42)</f>
        <v>374.46640309192196</v>
      </c>
      <c r="E43" s="368">
        <f t="shared" ref="E43" si="19">SUM(E37:E42)</f>
        <v>396.81038861945797</v>
      </c>
      <c r="F43" s="400">
        <f>SUM(F37:F42)</f>
        <v>1056.0929407734825</v>
      </c>
      <c r="G43" s="368"/>
      <c r="H43" s="400">
        <f>SUM(H37:H42)</f>
        <v>23.0985697338654</v>
      </c>
      <c r="I43" s="348">
        <f>SUM(I37:I42)</f>
        <v>0.36931403606421886</v>
      </c>
      <c r="J43" s="400">
        <f t="shared" ref="J43:L43" si="20">SUM(J37:J42)</f>
        <v>1035.5700618529329</v>
      </c>
      <c r="K43" s="368">
        <f t="shared" si="20"/>
        <v>2875.0838894882668</v>
      </c>
      <c r="L43" s="368">
        <f t="shared" si="20"/>
        <v>11056.889333989729</v>
      </c>
      <c r="M43" s="348">
        <f>(K43*1000000)/(L43*1000)</f>
        <v>260.02646880529386</v>
      </c>
      <c r="N43" s="348">
        <f>((K43-B43)*1000000)/(L43*1000)</f>
        <v>225.1625402304654</v>
      </c>
      <c r="O43" s="194"/>
      <c r="P43" s="192"/>
    </row>
    <row r="44" spans="1:16" ht="15.75" thickBot="1" x14ac:dyDescent="0.3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</row>
    <row r="45" spans="1:16" x14ac:dyDescent="0.25">
      <c r="A45" s="372" t="s">
        <v>266</v>
      </c>
      <c r="B45" s="373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5"/>
      <c r="O45" s="192"/>
      <c r="P45" s="192"/>
    </row>
    <row r="46" spans="1:16" x14ac:dyDescent="0.25">
      <c r="A46" s="376" t="s">
        <v>290</v>
      </c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377"/>
      <c r="O46" s="192"/>
      <c r="P46" s="192"/>
    </row>
    <row r="47" spans="1:16" x14ac:dyDescent="0.25">
      <c r="A47" s="376" t="s">
        <v>291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377"/>
      <c r="O47" s="192"/>
      <c r="P47" s="192"/>
    </row>
    <row r="48" spans="1:16" x14ac:dyDescent="0.25">
      <c r="A48" s="376" t="s">
        <v>292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377"/>
      <c r="O48" s="192"/>
      <c r="P48" s="192"/>
    </row>
    <row r="49" spans="1:16" ht="15.75" thickBot="1" x14ac:dyDescent="0.3">
      <c r="A49" s="378" t="s">
        <v>293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80"/>
      <c r="O49" s="192"/>
      <c r="P49" s="192"/>
    </row>
  </sheetData>
  <mergeCells count="13">
    <mergeCell ref="A2:J2"/>
    <mergeCell ref="F3:G3"/>
    <mergeCell ref="H3:J3"/>
    <mergeCell ref="F23:G23"/>
    <mergeCell ref="D23:E23"/>
    <mergeCell ref="B3:C3"/>
    <mergeCell ref="D3:E3"/>
    <mergeCell ref="D35:E35"/>
    <mergeCell ref="F35:G35"/>
    <mergeCell ref="M23:N23"/>
    <mergeCell ref="A22:N22"/>
    <mergeCell ref="A34:N34"/>
    <mergeCell ref="M35:N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FD96-88E3-4A6A-91DC-229350E48DD5}">
  <dimension ref="A1:Z55"/>
  <sheetViews>
    <sheetView topLeftCell="Q37" workbookViewId="0">
      <selection activeCell="C57" sqref="C57"/>
    </sheetView>
  </sheetViews>
  <sheetFormatPr defaultRowHeight="15" x14ac:dyDescent="0.25"/>
  <cols>
    <col min="1" max="1" width="17.7109375" customWidth="1"/>
    <col min="2" max="3" width="12.28515625" customWidth="1"/>
    <col min="4" max="4" width="15.28515625" bestFit="1" customWidth="1"/>
    <col min="5" max="6" width="23.28515625" customWidth="1"/>
    <col min="7" max="7" width="15.28515625" bestFit="1" customWidth="1"/>
    <col min="8" max="8" width="13.28515625" bestFit="1" customWidth="1"/>
    <col min="9" max="9" width="13.28515625" customWidth="1"/>
    <col min="10" max="13" width="14.28515625" customWidth="1"/>
    <col min="14" max="15" width="14.140625" customWidth="1"/>
    <col min="16" max="16" width="15" customWidth="1"/>
    <col min="17" max="18" width="10.5703125" customWidth="1"/>
    <col min="19" max="19" width="11.5703125" bestFit="1" customWidth="1"/>
    <col min="20" max="21" width="13.28515625" customWidth="1"/>
    <col min="22" max="22" width="13.140625" customWidth="1"/>
    <col min="23" max="24" width="14.7109375" customWidth="1"/>
  </cols>
  <sheetData>
    <row r="1" spans="1:24" ht="15.75" thickBot="1" x14ac:dyDescent="0.3"/>
    <row r="2" spans="1:24" x14ac:dyDescent="0.25">
      <c r="A2" s="59" t="s">
        <v>294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24" x14ac:dyDescent="0.25">
      <c r="A3" s="53"/>
      <c r="B3" s="424" t="s">
        <v>295</v>
      </c>
      <c r="C3" s="424"/>
      <c r="D3" s="424"/>
      <c r="G3" s="424" t="s">
        <v>296</v>
      </c>
      <c r="H3" s="424"/>
      <c r="I3" s="32"/>
      <c r="N3" s="424" t="s">
        <v>6</v>
      </c>
      <c r="O3" s="424"/>
      <c r="P3" s="424"/>
      <c r="Q3" s="54"/>
    </row>
    <row r="4" spans="1:24" x14ac:dyDescent="0.25">
      <c r="A4" s="46"/>
      <c r="B4" t="s">
        <v>297</v>
      </c>
      <c r="D4" t="s">
        <v>298</v>
      </c>
      <c r="E4" t="s">
        <v>299</v>
      </c>
      <c r="G4" t="s">
        <v>297</v>
      </c>
      <c r="H4" t="s">
        <v>298</v>
      </c>
      <c r="J4" t="s">
        <v>299</v>
      </c>
      <c r="N4" t="s">
        <v>297</v>
      </c>
      <c r="P4" t="s">
        <v>298</v>
      </c>
      <c r="Q4" s="54"/>
    </row>
    <row r="5" spans="1:24" x14ac:dyDescent="0.25">
      <c r="A5" s="46" t="s">
        <v>300</v>
      </c>
      <c r="B5" s="47">
        <v>183774534</v>
      </c>
      <c r="C5" s="47"/>
      <c r="D5" s="47">
        <v>19700920</v>
      </c>
      <c r="E5" s="55">
        <f>D5/B5*1000</f>
        <v>107.20157777682081</v>
      </c>
      <c r="F5" s="55"/>
      <c r="G5" s="47">
        <v>0</v>
      </c>
      <c r="H5" s="47"/>
      <c r="I5" s="47"/>
      <c r="J5" s="55"/>
      <c r="K5" s="55"/>
      <c r="L5" s="55"/>
      <c r="M5" s="55"/>
      <c r="N5" s="41">
        <f t="shared" ref="N5:N12" si="0">B5+G5</f>
        <v>183774534</v>
      </c>
      <c r="O5" s="41"/>
      <c r="P5" s="41">
        <f t="shared" ref="P5:P12" si="1">D5+H5</f>
        <v>19700920</v>
      </c>
      <c r="Q5" s="48">
        <f>P5/N5*1000</f>
        <v>107.20157777682081</v>
      </c>
      <c r="R5" s="55"/>
    </row>
    <row r="6" spans="1:24" x14ac:dyDescent="0.25">
      <c r="A6" s="46" t="s">
        <v>158</v>
      </c>
      <c r="B6" s="47">
        <f>73005005-G6</f>
        <v>56039285</v>
      </c>
      <c r="C6" s="47"/>
      <c r="D6" s="47">
        <v>6007312</v>
      </c>
      <c r="E6" s="55">
        <f>D6/B6*1000</f>
        <v>107.19822710086325</v>
      </c>
      <c r="F6" s="55"/>
      <c r="G6" s="47">
        <f>B15+B16</f>
        <v>16965720</v>
      </c>
      <c r="H6" s="47">
        <f>D15+D16</f>
        <v>3391762.4923999999</v>
      </c>
      <c r="I6" s="47"/>
      <c r="J6" s="55">
        <f>H6/G6*1000</f>
        <v>199.91857064716382</v>
      </c>
      <c r="K6" s="55"/>
      <c r="L6" s="55"/>
      <c r="M6" s="55"/>
      <c r="N6" s="41">
        <f t="shared" si="0"/>
        <v>73005005</v>
      </c>
      <c r="O6" s="41"/>
      <c r="P6" s="41">
        <f t="shared" si="1"/>
        <v>9399074.4923999999</v>
      </c>
      <c r="Q6" s="48">
        <f t="shared" ref="Q6:Q12" si="2">P6/N6*1000</f>
        <v>128.74561809015697</v>
      </c>
      <c r="R6" s="55"/>
    </row>
    <row r="7" spans="1:24" x14ac:dyDescent="0.25">
      <c r="A7" s="46" t="s">
        <v>157</v>
      </c>
      <c r="B7" s="47">
        <v>871987</v>
      </c>
      <c r="C7" s="47"/>
      <c r="D7" s="47">
        <v>95152</v>
      </c>
      <c r="E7" s="55">
        <f>D7/B7*1000</f>
        <v>109.12089285734764</v>
      </c>
      <c r="F7" s="55"/>
      <c r="G7" s="47">
        <f>B17+B21+B19</f>
        <v>2061726</v>
      </c>
      <c r="H7" s="47">
        <f>D17+D21+D19+D20</f>
        <v>433169</v>
      </c>
      <c r="I7" s="47"/>
      <c r="J7" s="55">
        <f>H7/G7*1000</f>
        <v>210.10017820020701</v>
      </c>
      <c r="K7" s="55"/>
      <c r="L7" s="55"/>
      <c r="M7" s="55"/>
      <c r="N7" s="41">
        <f t="shared" si="0"/>
        <v>2933713</v>
      </c>
      <c r="O7" s="41"/>
      <c r="P7" s="41">
        <f t="shared" si="1"/>
        <v>528321</v>
      </c>
      <c r="Q7" s="48">
        <f t="shared" si="2"/>
        <v>180.08612294385986</v>
      </c>
      <c r="R7" s="55"/>
    </row>
    <row r="8" spans="1:24" x14ac:dyDescent="0.25">
      <c r="A8" s="46" t="s">
        <v>301</v>
      </c>
      <c r="B8" s="47">
        <v>30842999</v>
      </c>
      <c r="C8" s="47"/>
      <c r="D8" s="47">
        <v>3306498</v>
      </c>
      <c r="E8" s="55">
        <f>D8/B8*1000</f>
        <v>107.20416649496374</v>
      </c>
      <c r="F8" s="55"/>
      <c r="G8" s="47">
        <v>0</v>
      </c>
      <c r="H8" s="47"/>
      <c r="I8" s="47"/>
      <c r="N8" s="41">
        <f t="shared" si="0"/>
        <v>30842999</v>
      </c>
      <c r="O8" s="41"/>
      <c r="P8" s="41">
        <f t="shared" si="1"/>
        <v>3306498</v>
      </c>
      <c r="Q8" s="48">
        <f t="shared" si="2"/>
        <v>107.20416649496374</v>
      </c>
      <c r="R8" s="55"/>
    </row>
    <row r="9" spans="1:24" x14ac:dyDescent="0.25">
      <c r="A9" s="46" t="s">
        <v>302</v>
      </c>
      <c r="B9" s="47"/>
      <c r="C9" s="47"/>
      <c r="D9" s="47"/>
      <c r="G9" s="47">
        <v>1391559</v>
      </c>
      <c r="H9" s="47">
        <v>161283</v>
      </c>
      <c r="I9" s="47"/>
      <c r="J9" s="55">
        <f>H9/G9*1000</f>
        <v>115.90094275557126</v>
      </c>
      <c r="K9" s="55"/>
      <c r="L9" s="55"/>
      <c r="M9" s="55"/>
      <c r="N9" s="41">
        <f t="shared" si="0"/>
        <v>1391559</v>
      </c>
      <c r="O9" s="41"/>
      <c r="P9" s="41">
        <f t="shared" si="1"/>
        <v>161283</v>
      </c>
      <c r="Q9" s="48">
        <f t="shared" si="2"/>
        <v>115.90094275557126</v>
      </c>
      <c r="R9" s="55"/>
    </row>
    <row r="10" spans="1:24" x14ac:dyDescent="0.25">
      <c r="A10" s="46" t="s">
        <v>303</v>
      </c>
      <c r="B10" s="47"/>
      <c r="C10" s="47"/>
      <c r="D10" s="47"/>
      <c r="G10" s="47">
        <v>13410200</v>
      </c>
      <c r="H10" s="47">
        <v>1578381</v>
      </c>
      <c r="I10" s="47"/>
      <c r="J10" s="55">
        <f>H10/G10*1000</f>
        <v>117.70003430224754</v>
      </c>
      <c r="K10" s="55"/>
      <c r="L10" s="55"/>
      <c r="M10" s="55"/>
      <c r="N10" s="41">
        <f t="shared" si="0"/>
        <v>13410200</v>
      </c>
      <c r="O10" s="41"/>
      <c r="P10" s="41">
        <f t="shared" si="1"/>
        <v>1578381</v>
      </c>
      <c r="Q10" s="48">
        <f t="shared" si="2"/>
        <v>117.70003430224754</v>
      </c>
      <c r="R10" s="55"/>
    </row>
    <row r="11" spans="1:24" x14ac:dyDescent="0.25">
      <c r="A11" s="46"/>
      <c r="B11" s="47"/>
      <c r="C11" s="47"/>
      <c r="D11" s="47"/>
      <c r="G11" s="47"/>
      <c r="H11" s="47"/>
      <c r="I11" s="47"/>
      <c r="N11" s="41">
        <f t="shared" si="0"/>
        <v>0</v>
      </c>
      <c r="O11" s="41"/>
      <c r="P11" s="41">
        <f t="shared" si="1"/>
        <v>0</v>
      </c>
      <c r="Q11" s="54"/>
    </row>
    <row r="12" spans="1:24" ht="15.75" thickBot="1" x14ac:dyDescent="0.3">
      <c r="A12" s="56" t="s">
        <v>6</v>
      </c>
      <c r="B12" s="57">
        <f>SUM(B5:B11)</f>
        <v>271528805</v>
      </c>
      <c r="C12" s="57"/>
      <c r="D12" s="57">
        <f>SUM(D5:D11)</f>
        <v>29109882</v>
      </c>
      <c r="E12" s="58">
        <f>D12/B12*1000</f>
        <v>107.20734398694827</v>
      </c>
      <c r="F12" s="58"/>
      <c r="G12" s="57">
        <f>SUM(G5:G11)</f>
        <v>33829205</v>
      </c>
      <c r="H12" s="57">
        <f>SUM(H5:H11)</f>
        <v>5564595.4923999999</v>
      </c>
      <c r="I12" s="57"/>
      <c r="J12" s="58">
        <f>H12/G12*1000</f>
        <v>164.49087385884476</v>
      </c>
      <c r="K12" s="58"/>
      <c r="L12" s="58"/>
      <c r="M12" s="58"/>
      <c r="N12" s="57">
        <f t="shared" si="0"/>
        <v>305358010</v>
      </c>
      <c r="O12" s="57"/>
      <c r="P12" s="57">
        <f t="shared" si="1"/>
        <v>34674477.492399998</v>
      </c>
      <c r="Q12" s="52">
        <f t="shared" si="2"/>
        <v>113.55352195411542</v>
      </c>
      <c r="R12" s="55"/>
    </row>
    <row r="13" spans="1:24" ht="15.75" thickBot="1" x14ac:dyDescent="0.3">
      <c r="G13" s="41"/>
      <c r="N13" s="41"/>
      <c r="O13" s="41"/>
      <c r="P13" s="24"/>
    </row>
    <row r="14" spans="1:24" x14ac:dyDescent="0.25">
      <c r="A14" s="43" t="s">
        <v>304</v>
      </c>
      <c r="B14" s="44"/>
      <c r="C14" s="44"/>
      <c r="D14" s="44"/>
      <c r="E14" s="45"/>
      <c r="N14" s="41"/>
      <c r="O14" s="41"/>
      <c r="P14" s="41"/>
      <c r="Q14" s="31"/>
      <c r="R14" s="31"/>
    </row>
    <row r="15" spans="1:24" x14ac:dyDescent="0.25">
      <c r="A15" s="46" t="s">
        <v>305</v>
      </c>
      <c r="B15" s="47">
        <f>7684596</f>
        <v>7684596</v>
      </c>
      <c r="C15" s="47"/>
      <c r="D15" s="47">
        <f>B15*0.3119</f>
        <v>2396825.4923999999</v>
      </c>
      <c r="E15" s="48">
        <f>D15/B15*1000</f>
        <v>311.90000000000003</v>
      </c>
      <c r="F15" s="55"/>
      <c r="G15" s="30"/>
      <c r="P15" s="41"/>
      <c r="T15" s="24"/>
      <c r="U15" s="24"/>
      <c r="V15" s="24"/>
      <c r="W15" s="24"/>
      <c r="X15" s="24"/>
    </row>
    <row r="16" spans="1:24" x14ac:dyDescent="0.25">
      <c r="A16" s="46" t="s">
        <v>306</v>
      </c>
      <c r="B16" s="41">
        <v>9281124</v>
      </c>
      <c r="C16" s="41"/>
      <c r="D16" s="41">
        <v>994937</v>
      </c>
      <c r="E16" s="48">
        <f>D16/B16*1000</f>
        <v>107.20005464855333</v>
      </c>
      <c r="F16" s="55"/>
      <c r="G16" s="30"/>
      <c r="P16" s="41"/>
    </row>
    <row r="17" spans="1:26" x14ac:dyDescent="0.25">
      <c r="A17" s="46" t="s">
        <v>307</v>
      </c>
      <c r="B17" s="47">
        <v>992227</v>
      </c>
      <c r="C17" s="47"/>
      <c r="D17" s="47">
        <v>309476</v>
      </c>
      <c r="E17" s="48">
        <f>D17/B17*1000</f>
        <v>311.9004018233731</v>
      </c>
      <c r="F17" s="55"/>
      <c r="G17" s="30"/>
    </row>
    <row r="18" spans="1:26" x14ac:dyDescent="0.25">
      <c r="A18" s="46" t="s">
        <v>308</v>
      </c>
      <c r="B18" s="47">
        <f>13410200+1391559</f>
        <v>14801759</v>
      </c>
      <c r="C18" s="47"/>
      <c r="D18" s="47">
        <f>161283+1578381</f>
        <v>1739664</v>
      </c>
      <c r="E18" s="48">
        <f>D18/B18*1000</f>
        <v>117.53089615903083</v>
      </c>
      <c r="F18" s="55"/>
      <c r="G18" s="30"/>
    </row>
    <row r="19" spans="1:26" x14ac:dyDescent="0.25">
      <c r="A19" s="46" t="s">
        <v>309</v>
      </c>
      <c r="B19" s="47">
        <v>25883</v>
      </c>
      <c r="C19" s="47"/>
      <c r="D19" s="47">
        <v>12124</v>
      </c>
      <c r="E19" s="48">
        <f>D19/B19*1000</f>
        <v>468.41556233821427</v>
      </c>
      <c r="F19" s="55"/>
      <c r="G19" s="30"/>
    </row>
    <row r="20" spans="1:26" x14ac:dyDescent="0.25">
      <c r="A20" s="46" t="s">
        <v>310</v>
      </c>
      <c r="B20" s="47"/>
      <c r="C20" s="47"/>
      <c r="D20" s="47">
        <v>-307</v>
      </c>
      <c r="E20" s="48"/>
      <c r="F20" s="55"/>
      <c r="G20" s="30"/>
    </row>
    <row r="21" spans="1:26" x14ac:dyDescent="0.25">
      <c r="A21" s="46" t="s">
        <v>311</v>
      </c>
      <c r="B21" s="42">
        <v>1043616</v>
      </c>
      <c r="C21" s="42"/>
      <c r="D21" s="42">
        <v>111876</v>
      </c>
      <c r="E21" s="49">
        <f>D21/B21*1000</f>
        <v>107.20034955385889</v>
      </c>
      <c r="F21" s="55"/>
      <c r="G21" s="30"/>
    </row>
    <row r="22" spans="1:26" ht="15.75" thickBot="1" x14ac:dyDescent="0.3">
      <c r="A22" s="50"/>
      <c r="B22" s="51">
        <f>SUM(B15:B21)</f>
        <v>33829205</v>
      </c>
      <c r="C22" s="51"/>
      <c r="D22" s="51">
        <f>SUM(D15:D21)</f>
        <v>5564595.4923999999</v>
      </c>
      <c r="E22" s="52">
        <f>D22/B22*1000</f>
        <v>164.49087385884476</v>
      </c>
      <c r="F22" s="55"/>
      <c r="G22" s="30"/>
    </row>
    <row r="23" spans="1:26" x14ac:dyDescent="0.25">
      <c r="H23" s="24"/>
      <c r="I23" s="24"/>
      <c r="J23" s="31"/>
      <c r="K23" s="31"/>
      <c r="L23" s="31"/>
      <c r="M23" s="31"/>
    </row>
    <row r="24" spans="1:26" x14ac:dyDescent="0.25">
      <c r="A24" s="28" t="s">
        <v>312</v>
      </c>
      <c r="B24" s="425" t="s">
        <v>300</v>
      </c>
      <c r="C24" s="425"/>
      <c r="D24" s="425"/>
      <c r="E24" s="425" t="s">
        <v>158</v>
      </c>
      <c r="F24" s="425"/>
      <c r="G24" s="425"/>
      <c r="H24" s="425" t="s">
        <v>313</v>
      </c>
      <c r="I24" s="425"/>
      <c r="J24" s="425"/>
      <c r="K24" s="25"/>
      <c r="L24" s="25"/>
      <c r="M24" s="25"/>
      <c r="N24" s="425" t="s">
        <v>301</v>
      </c>
      <c r="O24" s="425"/>
      <c r="P24" s="425"/>
      <c r="Q24" s="425" t="s">
        <v>302</v>
      </c>
      <c r="R24" s="425"/>
      <c r="S24" s="425"/>
      <c r="T24" s="425" t="s">
        <v>303</v>
      </c>
      <c r="U24" s="425"/>
      <c r="V24" s="425"/>
      <c r="W24" s="425" t="s">
        <v>6</v>
      </c>
      <c r="X24" s="425"/>
      <c r="Y24" s="425"/>
    </row>
    <row r="25" spans="1:26" x14ac:dyDescent="0.25">
      <c r="A25" s="29"/>
      <c r="B25" s="425"/>
      <c r="C25" s="425"/>
      <c r="D25" s="425"/>
      <c r="E25" s="425"/>
      <c r="F25" s="425"/>
      <c r="G25" s="425"/>
      <c r="H25" s="425"/>
      <c r="I25" s="425"/>
      <c r="J25" s="425"/>
      <c r="K25" s="25"/>
      <c r="L25" s="25"/>
      <c r="M25" s="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</row>
    <row r="26" spans="1:26" x14ac:dyDescent="0.25">
      <c r="A26" s="29"/>
      <c r="B26" s="25" t="s">
        <v>220</v>
      </c>
      <c r="C26" s="25" t="s">
        <v>314</v>
      </c>
      <c r="D26" s="25" t="s">
        <v>315</v>
      </c>
      <c r="E26" s="25" t="s">
        <v>220</v>
      </c>
      <c r="F26" s="25"/>
      <c r="G26" s="25" t="s">
        <v>315</v>
      </c>
      <c r="H26" s="25" t="s">
        <v>220</v>
      </c>
      <c r="I26" s="25"/>
      <c r="J26" s="25" t="s">
        <v>315</v>
      </c>
      <c r="K26" s="25"/>
      <c r="L26" s="25"/>
      <c r="M26" s="25"/>
      <c r="N26" s="25" t="s">
        <v>220</v>
      </c>
      <c r="O26" s="25"/>
      <c r="P26" s="25" t="s">
        <v>315</v>
      </c>
      <c r="Q26" s="25" t="s">
        <v>220</v>
      </c>
      <c r="R26" s="25"/>
      <c r="S26" s="25" t="s">
        <v>315</v>
      </c>
      <c r="T26" s="25" t="s">
        <v>220</v>
      </c>
      <c r="U26" s="25"/>
      <c r="V26" s="25" t="s">
        <v>315</v>
      </c>
      <c r="W26" s="25" t="s">
        <v>220</v>
      </c>
      <c r="X26" s="25"/>
      <c r="Y26" s="25" t="s">
        <v>315</v>
      </c>
      <c r="Z26" s="25" t="s">
        <v>316</v>
      </c>
    </row>
    <row r="27" spans="1:26" x14ac:dyDescent="0.25">
      <c r="A27" s="29" t="s">
        <v>0</v>
      </c>
      <c r="B27" s="61">
        <f>D5-B28</f>
        <v>17449686.866686761</v>
      </c>
      <c r="C27" s="191">
        <f>B27/D27</f>
        <v>107</v>
      </c>
      <c r="D27" s="24">
        <f>B27/0.107/1000</f>
        <v>163081.18566996974</v>
      </c>
      <c r="E27" s="61">
        <f>24000000*0.107</f>
        <v>2568000</v>
      </c>
      <c r="F27" s="191">
        <f>E27/G27</f>
        <v>107</v>
      </c>
      <c r="G27" s="63">
        <f>E27/0.107/1000</f>
        <v>24000</v>
      </c>
      <c r="H27" s="61">
        <v>0</v>
      </c>
      <c r="I27" s="61"/>
      <c r="J27" s="41">
        <v>0</v>
      </c>
      <c r="K27" s="41"/>
      <c r="L27" s="41"/>
      <c r="M27" s="41"/>
      <c r="N27" s="61">
        <f>D8</f>
        <v>3306498</v>
      </c>
      <c r="O27" s="61">
        <f>N27/P27</f>
        <v>107.20416649496373</v>
      </c>
      <c r="P27" s="41">
        <f>B8/1000</f>
        <v>30842.999</v>
      </c>
      <c r="Q27" s="61">
        <f>H9</f>
        <v>161283</v>
      </c>
      <c r="R27" s="61">
        <f>Q27/S27</f>
        <v>115.90094275557128</v>
      </c>
      <c r="S27" s="41">
        <f>G9/1000</f>
        <v>1391.559</v>
      </c>
      <c r="T27" s="61"/>
      <c r="U27" s="61"/>
      <c r="W27" s="60">
        <f t="shared" ref="W27:W33" si="3">B27+E27+H27+N27+Q27+T27</f>
        <v>23485467.866686761</v>
      </c>
      <c r="X27" s="60"/>
      <c r="Y27" s="60">
        <f t="shared" ref="Y27:Y33" si="4">D27+G27+J27+P27+S27+V27</f>
        <v>219315.74366996976</v>
      </c>
      <c r="Z27" s="30">
        <f>W27/Y27</f>
        <v>107.08518902331112</v>
      </c>
    </row>
    <row r="28" spans="1:26" x14ac:dyDescent="0.25">
      <c r="A28" s="29" t="s">
        <v>1</v>
      </c>
      <c r="B28" s="61">
        <f>21000000/B5*D5</f>
        <v>2251233.1333132368</v>
      </c>
      <c r="C28" s="61"/>
      <c r="D28" s="24">
        <f>B28/0.107/1000</f>
        <v>21039.561993581654</v>
      </c>
      <c r="E28" s="61">
        <f>D16+18000000*0.107-48000-888</f>
        <v>2872049</v>
      </c>
      <c r="F28" s="191">
        <f>F27</f>
        <v>107</v>
      </c>
      <c r="G28" s="41">
        <f>N6/1000-G27-SUM(G29:G32)</f>
        <v>34405.005000000005</v>
      </c>
      <c r="H28" s="61">
        <f>D21</f>
        <v>111876</v>
      </c>
      <c r="I28" s="191">
        <f>H28/J28</f>
        <v>107.20034955385889</v>
      </c>
      <c r="J28" s="41">
        <f>B21/1000</f>
        <v>1043.616</v>
      </c>
      <c r="K28" s="41"/>
      <c r="L28" s="41"/>
      <c r="M28" s="41"/>
      <c r="N28" s="61"/>
      <c r="O28" s="61"/>
      <c r="Q28" s="61"/>
      <c r="R28" s="61"/>
      <c r="T28" s="61">
        <f>H10</f>
        <v>1578381</v>
      </c>
      <c r="U28" s="61"/>
      <c r="V28" s="41">
        <f>G10/1000</f>
        <v>13410.2</v>
      </c>
      <c r="W28" s="60">
        <f t="shared" si="3"/>
        <v>6813539.1333132368</v>
      </c>
      <c r="X28" s="60"/>
      <c r="Y28" s="60">
        <f t="shared" si="4"/>
        <v>69898.382993581661</v>
      </c>
      <c r="Z28" s="30">
        <f t="shared" ref="Z28:Z33" si="5">W28/Y28</f>
        <v>97.477779048749696</v>
      </c>
    </row>
    <row r="29" spans="1:26" x14ac:dyDescent="0.25">
      <c r="A29" s="29" t="s">
        <v>2</v>
      </c>
      <c r="B29" s="61"/>
      <c r="C29" s="61"/>
      <c r="E29" s="61">
        <f>6000000*0.107</f>
        <v>642000</v>
      </c>
      <c r="F29" s="61">
        <v>107</v>
      </c>
      <c r="G29" s="63">
        <f t="shared" ref="G29:G32" si="6">E29/0.107/1000</f>
        <v>6000</v>
      </c>
      <c r="H29" s="61"/>
      <c r="I29" s="61"/>
      <c r="N29" s="61"/>
      <c r="O29" s="61"/>
      <c r="Q29" s="61"/>
      <c r="R29" s="61"/>
      <c r="T29" s="61"/>
      <c r="U29" s="61"/>
      <c r="W29" s="60">
        <f t="shared" si="3"/>
        <v>642000</v>
      </c>
      <c r="X29" s="60"/>
      <c r="Y29" s="60">
        <f t="shared" si="4"/>
        <v>6000</v>
      </c>
      <c r="Z29" s="30">
        <f t="shared" si="5"/>
        <v>107</v>
      </c>
    </row>
    <row r="30" spans="1:26" x14ac:dyDescent="0.25">
      <c r="A30" s="29" t="s">
        <v>3</v>
      </c>
      <c r="B30" s="61"/>
      <c r="C30" s="61"/>
      <c r="E30" s="61">
        <f>7000000*0.107</f>
        <v>749000</v>
      </c>
      <c r="F30" s="61">
        <v>107</v>
      </c>
      <c r="G30" s="63">
        <f t="shared" si="6"/>
        <v>7000</v>
      </c>
      <c r="H30" s="61"/>
      <c r="I30" s="61"/>
      <c r="N30" s="61"/>
      <c r="O30" s="61"/>
      <c r="Q30" s="61"/>
      <c r="R30" s="61"/>
      <c r="T30" s="61"/>
      <c r="U30" s="61"/>
      <c r="W30" s="60">
        <f t="shared" si="3"/>
        <v>749000</v>
      </c>
      <c r="X30" s="60"/>
      <c r="Y30" s="60">
        <f t="shared" si="4"/>
        <v>7000</v>
      </c>
      <c r="Z30" s="30">
        <f t="shared" si="5"/>
        <v>107</v>
      </c>
    </row>
    <row r="31" spans="1:26" x14ac:dyDescent="0.25">
      <c r="A31" s="29" t="s">
        <v>4</v>
      </c>
      <c r="B31" s="61"/>
      <c r="C31" s="61"/>
      <c r="E31" s="61">
        <f>200000*0.107</f>
        <v>21400</v>
      </c>
      <c r="F31" s="61">
        <v>107</v>
      </c>
      <c r="G31" s="63">
        <f t="shared" si="6"/>
        <v>200</v>
      </c>
      <c r="H31" s="61"/>
      <c r="I31" s="61"/>
      <c r="N31" s="61"/>
      <c r="O31" s="61"/>
      <c r="Q31" s="61"/>
      <c r="R31" s="61"/>
      <c r="T31" s="61"/>
      <c r="U31" s="61"/>
      <c r="W31" s="60">
        <f t="shared" si="3"/>
        <v>21400</v>
      </c>
      <c r="X31" s="60"/>
      <c r="Y31" s="60">
        <f t="shared" si="4"/>
        <v>200</v>
      </c>
      <c r="Z31" s="30">
        <f t="shared" si="5"/>
        <v>107</v>
      </c>
    </row>
    <row r="32" spans="1:26" x14ac:dyDescent="0.25">
      <c r="A32" s="29" t="s">
        <v>248</v>
      </c>
      <c r="B32" s="61"/>
      <c r="C32" s="61"/>
      <c r="E32" s="61">
        <f>1400000*0.107</f>
        <v>149800</v>
      </c>
      <c r="F32" s="61">
        <v>107</v>
      </c>
      <c r="G32" s="63">
        <f t="shared" si="6"/>
        <v>1400</v>
      </c>
      <c r="H32" s="61">
        <f>D7</f>
        <v>95152</v>
      </c>
      <c r="I32" s="191">
        <f>H32/J32</f>
        <v>109.12089285734764</v>
      </c>
      <c r="J32" s="41">
        <f>B7/1000</f>
        <v>871.98699999999997</v>
      </c>
      <c r="K32" s="41"/>
      <c r="L32" s="41"/>
      <c r="M32" s="41"/>
      <c r="N32" s="61"/>
      <c r="O32" s="61"/>
      <c r="Q32" s="61"/>
      <c r="R32" s="61"/>
      <c r="T32" s="61"/>
      <c r="U32" s="61"/>
      <c r="W32" s="60">
        <f t="shared" si="3"/>
        <v>244952</v>
      </c>
      <c r="X32" s="60"/>
      <c r="Y32" s="60">
        <f t="shared" si="4"/>
        <v>2271.9870000000001</v>
      </c>
      <c r="Z32" s="30">
        <f t="shared" si="5"/>
        <v>107.81399717515988</v>
      </c>
    </row>
    <row r="33" spans="1:26" x14ac:dyDescent="0.25">
      <c r="A33" s="28" t="s">
        <v>6</v>
      </c>
      <c r="B33" s="62">
        <f>SUM(B27:B32)</f>
        <v>19700920</v>
      </c>
      <c r="C33" s="62"/>
      <c r="D33" s="62">
        <f>SUM(D27:D32)</f>
        <v>184120.74766355139</v>
      </c>
      <c r="E33" s="62">
        <f>SUM(E27:E32)</f>
        <v>7002249</v>
      </c>
      <c r="F33" s="62"/>
      <c r="G33" s="62">
        <f>SUM(G27:G32)</f>
        <v>73005.005000000005</v>
      </c>
      <c r="H33" s="62">
        <f>SUM(H27:H32)</f>
        <v>207028</v>
      </c>
      <c r="I33" s="222">
        <f>H33/J33</f>
        <v>108.07458539164952</v>
      </c>
      <c r="J33" s="62">
        <f>SUM(J27:J32)</f>
        <v>1915.6030000000001</v>
      </c>
      <c r="K33" s="62"/>
      <c r="L33" s="62"/>
      <c r="M33" s="62"/>
      <c r="N33" s="62">
        <f>SUM(N27:N32)</f>
        <v>3306498</v>
      </c>
      <c r="O33" s="62"/>
      <c r="P33" s="62">
        <f>SUM(P27:P32)</f>
        <v>30842.999</v>
      </c>
      <c r="Q33" s="62">
        <f>SUM(Q27:Q32)</f>
        <v>161283</v>
      </c>
      <c r="R33" s="62"/>
      <c r="S33" s="62">
        <f>SUM(S27:S32)</f>
        <v>1391.559</v>
      </c>
      <c r="T33" s="62">
        <f>SUM(T27:T32)</f>
        <v>1578381</v>
      </c>
      <c r="U33" s="62"/>
      <c r="V33" s="62">
        <f>SUM(V27:V32)</f>
        <v>13410.2</v>
      </c>
      <c r="W33" s="60">
        <f t="shared" si="3"/>
        <v>31956359</v>
      </c>
      <c r="X33" s="60"/>
      <c r="Y33" s="60">
        <f t="shared" si="4"/>
        <v>304686.1136635514</v>
      </c>
      <c r="Z33" s="12">
        <f t="shared" si="5"/>
        <v>104.88288624563869</v>
      </c>
    </row>
    <row r="35" spans="1:26" x14ac:dyDescent="0.25">
      <c r="A35" s="28" t="s">
        <v>317</v>
      </c>
      <c r="B35" s="425" t="s">
        <v>300</v>
      </c>
      <c r="C35" s="425"/>
      <c r="D35" s="425"/>
      <c r="E35" s="425" t="s">
        <v>158</v>
      </c>
      <c r="F35" s="425"/>
      <c r="G35" s="425"/>
      <c r="H35" s="425" t="s">
        <v>313</v>
      </c>
      <c r="I35" s="425"/>
      <c r="J35" s="425"/>
      <c r="K35" s="25"/>
      <c r="L35" s="25"/>
      <c r="M35" s="25"/>
      <c r="N35" s="425" t="s">
        <v>301</v>
      </c>
      <c r="O35" s="425"/>
      <c r="P35" s="425"/>
      <c r="Q35" s="425" t="s">
        <v>302</v>
      </c>
      <c r="R35" s="425"/>
      <c r="S35" s="425"/>
      <c r="T35" s="425" t="s">
        <v>303</v>
      </c>
      <c r="U35" s="425"/>
      <c r="V35" s="425"/>
      <c r="W35" s="425" t="s">
        <v>6</v>
      </c>
      <c r="X35" s="425"/>
      <c r="Y35" s="425"/>
    </row>
    <row r="36" spans="1:26" x14ac:dyDescent="0.25">
      <c r="A36" s="29"/>
      <c r="B36" s="425"/>
      <c r="C36" s="425"/>
      <c r="D36" s="425"/>
      <c r="E36" s="425"/>
      <c r="F36" s="425"/>
      <c r="G36" s="425"/>
      <c r="H36" s="425"/>
      <c r="I36" s="425"/>
      <c r="J36" s="425"/>
      <c r="K36" s="25"/>
      <c r="L36" s="25"/>
      <c r="M36" s="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</row>
    <row r="37" spans="1:26" x14ac:dyDescent="0.25">
      <c r="A37" s="29"/>
      <c r="B37" s="25" t="s">
        <v>220</v>
      </c>
      <c r="C37" s="25"/>
      <c r="D37" s="25" t="s">
        <v>315</v>
      </c>
      <c r="E37" s="25" t="s">
        <v>220</v>
      </c>
      <c r="F37" s="25"/>
      <c r="G37" s="25" t="s">
        <v>315</v>
      </c>
      <c r="H37" s="25" t="s">
        <v>220</v>
      </c>
      <c r="I37" s="25"/>
      <c r="J37" s="25" t="s">
        <v>315</v>
      </c>
      <c r="K37" s="25"/>
      <c r="L37" s="25"/>
      <c r="M37" s="25"/>
      <c r="N37" s="25" t="s">
        <v>220</v>
      </c>
      <c r="O37" s="25"/>
      <c r="P37" s="25" t="s">
        <v>315</v>
      </c>
      <c r="Q37" s="25" t="s">
        <v>220</v>
      </c>
      <c r="R37" s="25"/>
      <c r="S37" s="25" t="s">
        <v>315</v>
      </c>
      <c r="T37" s="25" t="s">
        <v>220</v>
      </c>
      <c r="U37" s="25"/>
      <c r="V37" s="25" t="s">
        <v>315</v>
      </c>
      <c r="W37" s="25" t="s">
        <v>220</v>
      </c>
      <c r="X37" s="25"/>
      <c r="Y37" s="25" t="s">
        <v>315</v>
      </c>
      <c r="Z37" s="25" t="s">
        <v>316</v>
      </c>
    </row>
    <row r="38" spans="1:26" x14ac:dyDescent="0.25">
      <c r="A38" s="29" t="s">
        <v>0</v>
      </c>
      <c r="B38" s="61">
        <f>C38*D38</f>
        <v>12000000</v>
      </c>
      <c r="C38" s="191">
        <v>120</v>
      </c>
      <c r="D38" s="24">
        <v>100000</v>
      </c>
      <c r="E38" s="61">
        <f>G38*F38</f>
        <v>774524</v>
      </c>
      <c r="F38" s="191">
        <v>90.8</v>
      </c>
      <c r="G38" s="63">
        <v>8530</v>
      </c>
      <c r="H38" s="61">
        <f>I38*J38</f>
        <v>2088000</v>
      </c>
      <c r="I38" s="191">
        <v>130.5</v>
      </c>
      <c r="J38" s="41">
        <v>16000</v>
      </c>
      <c r="K38" s="41"/>
      <c r="L38" s="41"/>
      <c r="M38" s="41"/>
      <c r="N38" s="61">
        <v>0</v>
      </c>
      <c r="O38" s="61"/>
      <c r="P38" s="41">
        <f>B20/1000</f>
        <v>0</v>
      </c>
      <c r="Q38" s="61">
        <f>H21</f>
        <v>0</v>
      </c>
      <c r="R38" s="61"/>
      <c r="S38" s="41">
        <f>G21/1000</f>
        <v>0</v>
      </c>
      <c r="T38" s="61"/>
      <c r="U38" s="61"/>
      <c r="W38" s="60">
        <f t="shared" ref="W38:W43" si="7">B38+E38+H38+N38+Q38+T38</f>
        <v>14862524</v>
      </c>
      <c r="X38" s="60"/>
      <c r="Y38" s="60">
        <f t="shared" ref="Y38:Y44" si="8">D38+G38+J38+P38+S38+V38</f>
        <v>124530</v>
      </c>
      <c r="Z38" s="30">
        <f>W38/Y38</f>
        <v>119.34894402955111</v>
      </c>
    </row>
    <row r="39" spans="1:26" x14ac:dyDescent="0.25">
      <c r="A39" s="29" t="s">
        <v>1</v>
      </c>
      <c r="B39" s="61">
        <v>0</v>
      </c>
      <c r="C39" s="61"/>
      <c r="D39" s="24">
        <v>-6040</v>
      </c>
      <c r="E39" s="61">
        <f t="shared" ref="E39:E43" si="9">G39*F39</f>
        <v>933424</v>
      </c>
      <c r="F39" s="191">
        <v>90.8</v>
      </c>
      <c r="G39" s="41">
        <v>10280</v>
      </c>
      <c r="H39" s="61">
        <f>I39*J39</f>
        <v>548100</v>
      </c>
      <c r="I39" s="191">
        <v>130.5</v>
      </c>
      <c r="J39" s="41">
        <v>4200</v>
      </c>
      <c r="K39" s="41"/>
      <c r="L39" s="41"/>
      <c r="M39" s="41"/>
      <c r="N39" s="61"/>
      <c r="O39" s="61"/>
      <c r="Q39" s="61"/>
      <c r="R39" s="61"/>
      <c r="T39" s="61">
        <f>H22</f>
        <v>0</v>
      </c>
      <c r="U39" s="61"/>
      <c r="V39" s="41">
        <f>G22/1000</f>
        <v>0</v>
      </c>
      <c r="W39" s="60">
        <f t="shared" si="7"/>
        <v>1481524</v>
      </c>
      <c r="X39" s="60"/>
      <c r="Y39" s="60">
        <f>+G39+J39+P39+S39+V39</f>
        <v>14480</v>
      </c>
      <c r="Z39" s="30">
        <f t="shared" ref="Z39:Z44" si="10">W39/Y39</f>
        <v>102.31519337016574</v>
      </c>
    </row>
    <row r="40" spans="1:26" x14ac:dyDescent="0.25">
      <c r="A40" s="29" t="s">
        <v>2</v>
      </c>
      <c r="B40" s="61"/>
      <c r="C40" s="61"/>
      <c r="E40" s="61">
        <f t="shared" si="9"/>
        <v>473990</v>
      </c>
      <c r="F40" s="61">
        <v>152.9</v>
      </c>
      <c r="G40" s="63">
        <v>3100</v>
      </c>
      <c r="H40" s="61">
        <f t="shared" ref="H40:H42" si="11">I40*J40</f>
        <v>255068.80000000002</v>
      </c>
      <c r="I40" s="191">
        <v>154.4</v>
      </c>
      <c r="J40" s="223">
        <v>1652</v>
      </c>
      <c r="N40" s="61"/>
      <c r="O40" s="61"/>
      <c r="Q40" s="61"/>
      <c r="R40" s="61"/>
      <c r="T40" s="61"/>
      <c r="U40" s="61"/>
      <c r="W40" s="60">
        <f t="shared" si="7"/>
        <v>729058.8</v>
      </c>
      <c r="X40" s="60"/>
      <c r="Y40" s="60">
        <f t="shared" si="8"/>
        <v>4752</v>
      </c>
      <c r="Z40" s="30">
        <f t="shared" si="10"/>
        <v>153.42146464646464</v>
      </c>
    </row>
    <row r="41" spans="1:26" x14ac:dyDescent="0.25">
      <c r="A41" s="29" t="s">
        <v>3</v>
      </c>
      <c r="B41" s="61"/>
      <c r="C41" s="61"/>
      <c r="E41" s="61">
        <f t="shared" si="9"/>
        <v>0</v>
      </c>
      <c r="F41" s="61">
        <v>0</v>
      </c>
      <c r="G41" s="63">
        <v>0</v>
      </c>
      <c r="H41" s="61">
        <f t="shared" si="11"/>
        <v>254760</v>
      </c>
      <c r="I41" s="191">
        <v>154.4</v>
      </c>
      <c r="J41" s="223">
        <v>1650</v>
      </c>
      <c r="N41" s="61"/>
      <c r="O41" s="61"/>
      <c r="Q41" s="61"/>
      <c r="R41" s="61"/>
      <c r="T41" s="61"/>
      <c r="U41" s="61"/>
      <c r="W41" s="60">
        <f t="shared" si="7"/>
        <v>254760</v>
      </c>
      <c r="X41" s="60"/>
      <c r="Y41" s="60">
        <f t="shared" si="8"/>
        <v>1650</v>
      </c>
      <c r="Z41" s="30">
        <f t="shared" si="10"/>
        <v>154.4</v>
      </c>
    </row>
    <row r="42" spans="1:26" x14ac:dyDescent="0.25">
      <c r="A42" s="29" t="s">
        <v>4</v>
      </c>
      <c r="B42" s="61"/>
      <c r="C42" s="61"/>
      <c r="E42" s="61">
        <f t="shared" si="9"/>
        <v>1025100</v>
      </c>
      <c r="F42" s="61">
        <v>153</v>
      </c>
      <c r="G42" s="63">
        <v>6700</v>
      </c>
      <c r="H42" s="61">
        <f t="shared" si="11"/>
        <v>169840</v>
      </c>
      <c r="I42" s="191">
        <v>154.4</v>
      </c>
      <c r="J42" s="223">
        <v>1100</v>
      </c>
      <c r="N42" s="61"/>
      <c r="O42" s="61"/>
      <c r="Q42" s="61"/>
      <c r="R42" s="61"/>
      <c r="T42" s="61"/>
      <c r="U42" s="61"/>
      <c r="W42" s="60">
        <f t="shared" si="7"/>
        <v>1194940</v>
      </c>
      <c r="X42" s="60"/>
      <c r="Y42" s="60">
        <f t="shared" si="8"/>
        <v>7800</v>
      </c>
      <c r="Z42" s="30">
        <f t="shared" si="10"/>
        <v>153.19743589743589</v>
      </c>
    </row>
    <row r="43" spans="1:26" x14ac:dyDescent="0.25">
      <c r="A43" s="29" t="s">
        <v>248</v>
      </c>
      <c r="B43" s="61"/>
      <c r="C43" s="61"/>
      <c r="E43" s="61">
        <f t="shared" si="9"/>
        <v>459070.00000000006</v>
      </c>
      <c r="F43" s="61">
        <v>158.30000000000001</v>
      </c>
      <c r="G43" s="63">
        <v>2900</v>
      </c>
      <c r="H43" s="61">
        <v>0</v>
      </c>
      <c r="I43" s="191">
        <v>0</v>
      </c>
      <c r="J43" s="41">
        <v>0</v>
      </c>
      <c r="K43" s="41"/>
      <c r="L43" s="41"/>
      <c r="M43" s="41"/>
      <c r="N43" s="61"/>
      <c r="O43" s="61"/>
      <c r="Q43" s="61"/>
      <c r="R43" s="61"/>
      <c r="T43" s="61"/>
      <c r="U43" s="61"/>
      <c r="W43" s="60">
        <f t="shared" si="7"/>
        <v>459070.00000000006</v>
      </c>
      <c r="X43" s="60"/>
      <c r="Y43" s="60">
        <f t="shared" si="8"/>
        <v>2900</v>
      </c>
      <c r="Z43" s="30">
        <f t="shared" si="10"/>
        <v>158.30000000000001</v>
      </c>
    </row>
    <row r="44" spans="1:26" x14ac:dyDescent="0.25">
      <c r="A44" s="28" t="s">
        <v>6</v>
      </c>
      <c r="B44" s="62">
        <f>SUM(B38:B43)</f>
        <v>12000000</v>
      </c>
      <c r="C44" s="62"/>
      <c r="D44" s="62">
        <f>SUM(D38:D43)</f>
        <v>93960</v>
      </c>
      <c r="E44" s="62">
        <f>SUM(E38:E43)</f>
        <v>3666108</v>
      </c>
      <c r="F44" s="62"/>
      <c r="G44" s="62">
        <f>SUM(G38:G43)</f>
        <v>31510</v>
      </c>
      <c r="H44" s="62">
        <f>SUM(H38:H43)</f>
        <v>3315768.8</v>
      </c>
      <c r="I44" s="222">
        <f>H44/J44</f>
        <v>134.77639216323874</v>
      </c>
      <c r="J44" s="62">
        <f>SUM(J38:J43)</f>
        <v>24602</v>
      </c>
      <c r="K44" s="62"/>
      <c r="L44" s="62"/>
      <c r="M44" s="62"/>
      <c r="N44" s="62">
        <f>SUM(N38:N43)</f>
        <v>0</v>
      </c>
      <c r="O44" s="62"/>
      <c r="P44" s="62">
        <f>SUM(P38:P43)</f>
        <v>0</v>
      </c>
      <c r="Q44" s="62">
        <f>SUM(Q38:Q43)</f>
        <v>0</v>
      </c>
      <c r="R44" s="62"/>
      <c r="S44" s="62">
        <f>SUM(S38:S43)</f>
        <v>0</v>
      </c>
      <c r="T44" s="62">
        <f>SUM(T38:T43)</f>
        <v>0</v>
      </c>
      <c r="U44" s="62"/>
      <c r="V44" s="62">
        <f>SUM(V38:V43)</f>
        <v>0</v>
      </c>
      <c r="W44" s="62">
        <f>SUM(W38:W43)</f>
        <v>18981876.800000001</v>
      </c>
      <c r="X44" s="60"/>
      <c r="Y44" s="62">
        <f t="shared" si="8"/>
        <v>150072</v>
      </c>
      <c r="Z44" s="12">
        <f t="shared" si="10"/>
        <v>126.48513246974785</v>
      </c>
    </row>
    <row r="46" spans="1:26" x14ac:dyDescent="0.25">
      <c r="A46" s="28" t="s">
        <v>318</v>
      </c>
      <c r="B46" s="425" t="s">
        <v>300</v>
      </c>
      <c r="C46" s="425"/>
      <c r="D46" s="425"/>
      <c r="E46" s="425" t="s">
        <v>158</v>
      </c>
      <c r="F46" s="425"/>
      <c r="G46" s="425"/>
      <c r="H46" s="425" t="s">
        <v>313</v>
      </c>
      <c r="I46" s="425"/>
      <c r="J46" s="425"/>
      <c r="K46" s="426" t="s">
        <v>319</v>
      </c>
      <c r="L46" s="426"/>
      <c r="M46" s="426"/>
      <c r="N46" s="425" t="s">
        <v>301</v>
      </c>
      <c r="O46" s="425"/>
      <c r="P46" s="425"/>
      <c r="Q46" s="425" t="s">
        <v>302</v>
      </c>
      <c r="R46" s="425"/>
      <c r="S46" s="425"/>
      <c r="T46" s="425" t="s">
        <v>303</v>
      </c>
      <c r="U46" s="425"/>
      <c r="V46" s="425"/>
      <c r="W46" s="425" t="s">
        <v>6</v>
      </c>
      <c r="X46" s="425"/>
      <c r="Y46" s="425"/>
    </row>
    <row r="47" spans="1:26" x14ac:dyDescent="0.25">
      <c r="A47" s="29"/>
      <c r="B47" s="425"/>
      <c r="C47" s="425"/>
      <c r="D47" s="425"/>
      <c r="E47" s="425"/>
      <c r="F47" s="425"/>
      <c r="G47" s="425"/>
      <c r="H47" s="425"/>
      <c r="I47" s="425"/>
      <c r="J47" s="425"/>
      <c r="K47" s="426"/>
      <c r="L47" s="426"/>
      <c r="M47" s="426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</row>
    <row r="48" spans="1:26" x14ac:dyDescent="0.25">
      <c r="A48" s="29"/>
      <c r="B48" s="25" t="s">
        <v>220</v>
      </c>
      <c r="C48" s="25"/>
      <c r="D48" s="25" t="s">
        <v>315</v>
      </c>
      <c r="E48" s="25" t="s">
        <v>220</v>
      </c>
      <c r="F48" s="25"/>
      <c r="G48" s="25" t="s">
        <v>315</v>
      </c>
      <c r="H48" s="25" t="s">
        <v>220</v>
      </c>
      <c r="I48" s="25"/>
      <c r="J48" s="25" t="s">
        <v>315</v>
      </c>
      <c r="K48" s="25"/>
      <c r="L48" s="25"/>
      <c r="M48" s="25"/>
      <c r="N48" s="25" t="s">
        <v>220</v>
      </c>
      <c r="O48" s="25"/>
      <c r="P48" s="25" t="s">
        <v>315</v>
      </c>
      <c r="Q48" s="25" t="s">
        <v>220</v>
      </c>
      <c r="R48" s="25"/>
      <c r="S48" s="25" t="s">
        <v>315</v>
      </c>
      <c r="T48" s="25" t="s">
        <v>220</v>
      </c>
      <c r="U48" s="25"/>
      <c r="V48" s="25" t="s">
        <v>315</v>
      </c>
      <c r="W48" s="25" t="s">
        <v>220</v>
      </c>
      <c r="X48" s="25" t="s">
        <v>316</v>
      </c>
      <c r="Y48" s="25" t="s">
        <v>315</v>
      </c>
    </row>
    <row r="49" spans="1:25" x14ac:dyDescent="0.25">
      <c r="A49" s="29" t="s">
        <v>0</v>
      </c>
      <c r="B49" s="61">
        <f>C27*(1.0175^5)*165000+B38</f>
        <v>31254835.443363052</v>
      </c>
      <c r="C49" s="191">
        <f>B49/D49</f>
        <v>117.94277525797378</v>
      </c>
      <c r="D49" s="24">
        <v>265000</v>
      </c>
      <c r="E49" s="61">
        <f>F49*G49</f>
        <v>3239149.1455648881</v>
      </c>
      <c r="F49" s="191">
        <f>2.8/11.8*F38+9/11.8*(F27*(1.0175^5))</f>
        <v>110.55116537764124</v>
      </c>
      <c r="G49" s="63">
        <v>29300</v>
      </c>
      <c r="H49" s="13">
        <f t="shared" ref="H49" si="12">H27+H38</f>
        <v>2088000</v>
      </c>
      <c r="I49" s="191">
        <f>H49/J49</f>
        <v>130.5</v>
      </c>
      <c r="J49" s="41">
        <v>16000</v>
      </c>
      <c r="K49" s="61">
        <f>L49*M49</f>
        <v>3353000</v>
      </c>
      <c r="L49" s="41">
        <v>200</v>
      </c>
      <c r="M49" s="41">
        <v>16765</v>
      </c>
      <c r="N49" s="61">
        <f>O49*P49</f>
        <v>2820311.4279363314</v>
      </c>
      <c r="O49" s="61">
        <f>O27*(1.0175^5)</f>
        <v>116.91863974530848</v>
      </c>
      <c r="P49" s="41">
        <v>24122</v>
      </c>
      <c r="Q49" s="61">
        <f>R49*S49</f>
        <v>82162.267194446787</v>
      </c>
      <c r="R49" s="61">
        <f>R27*(1.0175^5)</f>
        <v>126.40348799145659</v>
      </c>
      <c r="S49" s="41">
        <v>650</v>
      </c>
      <c r="T49" s="61">
        <f>U49*V49</f>
        <v>3396748</v>
      </c>
      <c r="U49" s="61">
        <v>118</v>
      </c>
      <c r="V49">
        <v>28786</v>
      </c>
      <c r="W49" s="60">
        <f>B49+E49+H49+K49+N49+Q49+T49</f>
        <v>46234206.28405872</v>
      </c>
      <c r="X49" s="30">
        <f t="shared" ref="X49:X55" si="13">W49/Y49</f>
        <v>121.46981733646868</v>
      </c>
      <c r="Y49" s="60">
        <f>D49+G49+J49+M49+P49+S49+V49</f>
        <v>380623</v>
      </c>
    </row>
    <row r="50" spans="1:25" x14ac:dyDescent="0.25">
      <c r="A50" s="29" t="s">
        <v>1</v>
      </c>
      <c r="B50" s="61">
        <f>D50*C50</f>
        <v>1786233.2182667439</v>
      </c>
      <c r="C50" s="191">
        <f>2.5/9*107*1.0175^5+6.5/9*120</f>
        <v>119.08221455111627</v>
      </c>
      <c r="D50" s="24">
        <v>15000</v>
      </c>
      <c r="E50" s="61">
        <f t="shared" ref="E50:E54" si="14">F50*G50</f>
        <v>5173827.7561158985</v>
      </c>
      <c r="F50" s="191">
        <f>2.8/15.4*F39+12.6/15.4*(F28*(1.0175^5))</f>
        <v>111.98761376874239</v>
      </c>
      <c r="G50" s="41">
        <v>46200</v>
      </c>
      <c r="H50" s="13">
        <f>H28+H39</f>
        <v>659976</v>
      </c>
      <c r="I50" s="191">
        <f t="shared" ref="I50:I55" si="15">H50/J50</f>
        <v>125.862763406016</v>
      </c>
      <c r="J50" s="41">
        <f>J28+J39</f>
        <v>5243.616</v>
      </c>
      <c r="K50" s="41"/>
      <c r="L50" s="41"/>
      <c r="M50" s="41"/>
      <c r="N50" s="61">
        <f>O50*P50</f>
        <v>168479.75987298953</v>
      </c>
      <c r="O50" s="61">
        <f>O49</f>
        <v>116.91863974530848</v>
      </c>
      <c r="P50">
        <v>1441</v>
      </c>
      <c r="Q50" s="61"/>
      <c r="R50" s="61"/>
      <c r="T50" s="61">
        <f>H33</f>
        <v>207028</v>
      </c>
      <c r="U50" s="61"/>
      <c r="V50" s="41">
        <f>G33/1000</f>
        <v>73.005005000000011</v>
      </c>
      <c r="W50" s="60">
        <f t="shared" ref="W50:W54" si="16">B50+E50+H50+N50+Q50+T50</f>
        <v>7995544.7342556324</v>
      </c>
      <c r="X50" s="30">
        <f t="shared" si="13"/>
        <v>117.65486513524891</v>
      </c>
      <c r="Y50" s="60">
        <f t="shared" ref="Y50:Y54" si="17">D50+G50+J50+M50+P50+S50+V50</f>
        <v>67957.621004999994</v>
      </c>
    </row>
    <row r="51" spans="1:25" x14ac:dyDescent="0.25">
      <c r="A51" s="29" t="s">
        <v>2</v>
      </c>
      <c r="B51" s="61"/>
      <c r="C51" s="61"/>
      <c r="E51" s="61">
        <f t="shared" si="14"/>
        <v>1491435.3329767932</v>
      </c>
      <c r="F51" s="191">
        <f>3.6/6.9*F40+3.3/6.9*(F29*(1.0175^5))</f>
        <v>135.58503027061755</v>
      </c>
      <c r="G51" s="63">
        <v>11000</v>
      </c>
      <c r="H51" s="13">
        <f t="shared" ref="H51:H54" si="18">H29+H40</f>
        <v>255068.80000000002</v>
      </c>
      <c r="I51" s="191">
        <f t="shared" si="15"/>
        <v>154.4</v>
      </c>
      <c r="J51" s="41">
        <f t="shared" ref="J51:J54" si="19">J29+J40</f>
        <v>1652</v>
      </c>
      <c r="N51" s="61"/>
      <c r="O51" s="61"/>
      <c r="Q51" s="61"/>
      <c r="R51" s="61"/>
      <c r="T51" s="61"/>
      <c r="U51" s="61"/>
      <c r="W51" s="60">
        <f t="shared" si="16"/>
        <v>1746504.1329767932</v>
      </c>
      <c r="X51" s="30">
        <f t="shared" si="13"/>
        <v>138.04174304274369</v>
      </c>
      <c r="Y51" s="60">
        <f t="shared" si="17"/>
        <v>12652</v>
      </c>
    </row>
    <row r="52" spans="1:25" x14ac:dyDescent="0.25">
      <c r="A52" s="29" t="s">
        <v>3</v>
      </c>
      <c r="B52" s="61"/>
      <c r="C52" s="61"/>
      <c r="E52" s="61">
        <f t="shared" si="14"/>
        <v>980246.16802575544</v>
      </c>
      <c r="F52" s="191">
        <f>F30*(1.0175^5)</f>
        <v>116.6959723840185</v>
      </c>
      <c r="G52" s="63">
        <v>8400</v>
      </c>
      <c r="H52" s="13">
        <f t="shared" si="18"/>
        <v>254760</v>
      </c>
      <c r="I52" s="191">
        <f t="shared" si="15"/>
        <v>154.4</v>
      </c>
      <c r="J52" s="41">
        <f t="shared" si="19"/>
        <v>1650</v>
      </c>
      <c r="N52" s="61"/>
      <c r="O52" s="61"/>
      <c r="Q52" s="61"/>
      <c r="R52" s="61"/>
      <c r="T52" s="61"/>
      <c r="U52" s="61"/>
      <c r="W52" s="60">
        <f t="shared" si="16"/>
        <v>1235006.1680257553</v>
      </c>
      <c r="X52" s="30">
        <f t="shared" si="13"/>
        <v>122.88618587320948</v>
      </c>
      <c r="Y52" s="60">
        <f t="shared" si="17"/>
        <v>10050</v>
      </c>
    </row>
    <row r="53" spans="1:25" x14ac:dyDescent="0.25">
      <c r="A53" s="29" t="s">
        <v>4</v>
      </c>
      <c r="B53" s="61"/>
      <c r="C53" s="61"/>
      <c r="E53" s="61">
        <f t="shared" si="14"/>
        <v>1274001.1783731882</v>
      </c>
      <c r="F53" s="191">
        <f>2.7/4.5*F42+1.8/4.5*(F31*(1.0175^5))</f>
        <v>138.47838895360741</v>
      </c>
      <c r="G53" s="63">
        <v>9200</v>
      </c>
      <c r="H53" s="13">
        <f t="shared" si="18"/>
        <v>169840</v>
      </c>
      <c r="I53" s="191">
        <f t="shared" si="15"/>
        <v>154.4</v>
      </c>
      <c r="J53" s="41">
        <f t="shared" si="19"/>
        <v>1100</v>
      </c>
      <c r="N53" s="61"/>
      <c r="O53" s="61"/>
      <c r="Q53" s="61"/>
      <c r="R53" s="61"/>
      <c r="T53" s="61"/>
      <c r="U53" s="61"/>
      <c r="W53" s="60">
        <f t="shared" si="16"/>
        <v>1443841.1783731882</v>
      </c>
      <c r="X53" s="30">
        <f t="shared" si="13"/>
        <v>140.17875518186293</v>
      </c>
      <c r="Y53" s="60">
        <f t="shared" si="17"/>
        <v>10300</v>
      </c>
    </row>
    <row r="54" spans="1:25" x14ac:dyDescent="0.25">
      <c r="A54" s="29" t="s">
        <v>248</v>
      </c>
      <c r="B54" s="61"/>
      <c r="C54" s="61"/>
      <c r="E54" s="61">
        <f t="shared" si="14"/>
        <v>743526.58228450094</v>
      </c>
      <c r="F54" s="191">
        <f>1.2/2.7*F43+1.5/2.7*(F32*(1.0175^5))</f>
        <v>135.18665132445471</v>
      </c>
      <c r="G54" s="63">
        <v>5500</v>
      </c>
      <c r="H54" s="13">
        <f t="shared" si="18"/>
        <v>95152</v>
      </c>
      <c r="I54" s="191">
        <f t="shared" si="15"/>
        <v>109.12089285734764</v>
      </c>
      <c r="J54" s="41">
        <f t="shared" si="19"/>
        <v>871.98699999999997</v>
      </c>
      <c r="K54" s="41"/>
      <c r="L54" s="41"/>
      <c r="M54" s="41"/>
      <c r="N54" s="61"/>
      <c r="O54" s="61"/>
      <c r="Q54" s="61"/>
      <c r="R54" s="61"/>
      <c r="T54" s="61"/>
      <c r="U54" s="61"/>
      <c r="W54" s="60">
        <f t="shared" si="16"/>
        <v>838678.58228450094</v>
      </c>
      <c r="X54" s="30">
        <f t="shared" si="13"/>
        <v>131.61963172311886</v>
      </c>
      <c r="Y54" s="60">
        <f t="shared" si="17"/>
        <v>6371.9870000000001</v>
      </c>
    </row>
    <row r="55" spans="1:25" x14ac:dyDescent="0.25">
      <c r="A55" s="28" t="s">
        <v>6</v>
      </c>
      <c r="B55" s="62">
        <f>SUM(B49:B54)</f>
        <v>33041068.661629796</v>
      </c>
      <c r="C55" s="222">
        <f>B55/D55</f>
        <v>118.00381664867784</v>
      </c>
      <c r="D55" s="62">
        <f>SUM(D49:D54)</f>
        <v>280000</v>
      </c>
      <c r="E55" s="62">
        <f>SUM(E49:E54)</f>
        <v>12902186.163341025</v>
      </c>
      <c r="F55" s="222">
        <f>E55/G55</f>
        <v>117.72067667281956</v>
      </c>
      <c r="G55" s="62">
        <f>SUM(G49:G54)</f>
        <v>109600</v>
      </c>
      <c r="H55" s="62">
        <f>SUM(H49:H54)</f>
        <v>3522796.8</v>
      </c>
      <c r="I55" s="222">
        <f t="shared" si="15"/>
        <v>132.84748248173108</v>
      </c>
      <c r="J55" s="62">
        <f>SUM(J49:J54)</f>
        <v>26517.603000000003</v>
      </c>
      <c r="K55" s="62"/>
      <c r="L55" s="62"/>
      <c r="M55" s="62"/>
      <c r="N55" s="62">
        <f>SUM(N49:N54)</f>
        <v>2988791.1878093211</v>
      </c>
      <c r="O55" s="62"/>
      <c r="P55" s="62">
        <f>SUM(P49:P54)</f>
        <v>25563</v>
      </c>
      <c r="Q55" s="62">
        <f>SUM(Q49:Q54)</f>
        <v>82162.267194446787</v>
      </c>
      <c r="R55" s="62"/>
      <c r="S55" s="62">
        <f>SUM(S49:S54)</f>
        <v>650</v>
      </c>
      <c r="T55" s="62">
        <f>SUM(T49:T54)</f>
        <v>3603776</v>
      </c>
      <c r="U55" s="62"/>
      <c r="V55" s="62">
        <f>SUM(V49:V54)</f>
        <v>28859.005004999999</v>
      </c>
      <c r="W55" s="60">
        <f>SUM(W49:W54)</f>
        <v>59493781.079974592</v>
      </c>
      <c r="X55" s="12">
        <f t="shared" si="13"/>
        <v>121.92482682603331</v>
      </c>
      <c r="Y55" s="60">
        <f>SUM(Y49:Y54)</f>
        <v>487954.60800499999</v>
      </c>
    </row>
  </sheetData>
  <mergeCells count="25">
    <mergeCell ref="T35:V36"/>
    <mergeCell ref="W35:Y36"/>
    <mergeCell ref="B46:D47"/>
    <mergeCell ref="E46:G47"/>
    <mergeCell ref="H46:J47"/>
    <mergeCell ref="N46:P47"/>
    <mergeCell ref="Q46:S47"/>
    <mergeCell ref="T46:V47"/>
    <mergeCell ref="W46:Y47"/>
    <mergeCell ref="K46:M47"/>
    <mergeCell ref="B35:D36"/>
    <mergeCell ref="E35:G36"/>
    <mergeCell ref="H35:J36"/>
    <mergeCell ref="N35:P36"/>
    <mergeCell ref="Q35:S36"/>
    <mergeCell ref="B3:D3"/>
    <mergeCell ref="G3:H3"/>
    <mergeCell ref="T24:V25"/>
    <mergeCell ref="W24:Y25"/>
    <mergeCell ref="N3:P3"/>
    <mergeCell ref="B24:D25"/>
    <mergeCell ref="E24:G25"/>
    <mergeCell ref="H24:J25"/>
    <mergeCell ref="N24:P25"/>
    <mergeCell ref="Q24:S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CABD-FC69-46F5-A3B4-C4677B828285}">
  <dimension ref="A1:O51"/>
  <sheetViews>
    <sheetView topLeftCell="A9" workbookViewId="0">
      <selection activeCell="F25" sqref="F25"/>
    </sheetView>
  </sheetViews>
  <sheetFormatPr defaultRowHeight="15" x14ac:dyDescent="0.25"/>
  <cols>
    <col min="1" max="1" width="12.42578125" customWidth="1"/>
    <col min="2" max="2" width="10.42578125" customWidth="1"/>
    <col min="4" max="4" width="13.28515625" bestFit="1" customWidth="1"/>
    <col min="5" max="8" width="11.140625" customWidth="1"/>
    <col min="9" max="10" width="12.28515625" customWidth="1"/>
    <col min="11" max="11" width="13.85546875" customWidth="1"/>
  </cols>
  <sheetData>
    <row r="1" spans="1:10" x14ac:dyDescent="0.25">
      <c r="A1" s="67" t="s">
        <v>320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25">
      <c r="A2" s="11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434" t="s">
        <v>321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0" x14ac:dyDescent="0.25">
      <c r="A4" s="9"/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25">
      <c r="A5" s="9"/>
      <c r="B5" s="299" t="s">
        <v>322</v>
      </c>
      <c r="C5" s="206"/>
      <c r="D5" s="206"/>
      <c r="E5" s="206" t="s">
        <v>323</v>
      </c>
      <c r="F5" s="206"/>
      <c r="G5" s="206"/>
      <c r="H5" s="205" t="s">
        <v>324</v>
      </c>
      <c r="I5" s="205"/>
      <c r="J5" s="206"/>
    </row>
    <row r="6" spans="1:10" x14ac:dyDescent="0.25">
      <c r="A6" s="8" t="s">
        <v>246</v>
      </c>
      <c r="B6" s="10" t="s">
        <v>325</v>
      </c>
      <c r="C6" s="10" t="s">
        <v>14</v>
      </c>
      <c r="D6" s="10" t="s">
        <v>13</v>
      </c>
      <c r="E6" s="10" t="s">
        <v>325</v>
      </c>
      <c r="F6" s="10" t="s">
        <v>14</v>
      </c>
      <c r="G6" s="10" t="s">
        <v>13</v>
      </c>
      <c r="H6" s="10" t="s">
        <v>325</v>
      </c>
      <c r="I6" s="10" t="s">
        <v>14</v>
      </c>
      <c r="J6" s="206"/>
    </row>
    <row r="7" spans="1:10" x14ac:dyDescent="0.25">
      <c r="A7" s="9" t="s">
        <v>0</v>
      </c>
      <c r="B7" s="14">
        <f>'Custos EDA-Fueloil e Gasoleo'!L25/1000000</f>
        <v>271.734872</v>
      </c>
      <c r="C7" s="4">
        <f>'Custos EDA-Fueloil e Gasoleo'!D6</f>
        <v>173.28782520044024</v>
      </c>
      <c r="D7" s="14">
        <f>B7*C7/1000</f>
        <v>47.088345000000004</v>
      </c>
      <c r="E7" s="14">
        <f>'Custos EDA-Renovaveis'!Y27/1000</f>
        <v>219.31574366996975</v>
      </c>
      <c r="F7" s="4">
        <v>112.74</v>
      </c>
      <c r="G7" s="14">
        <f>E7*F7/1000</f>
        <v>24.725656941352387</v>
      </c>
      <c r="H7" s="27">
        <f>B7+E7</f>
        <v>491.05061566996972</v>
      </c>
      <c r="I7" s="4">
        <f t="shared" ref="I7:I12" si="0">C7*B7/H7+F7*E7/H7</f>
        <v>146.24562040996986</v>
      </c>
      <c r="J7" s="300"/>
    </row>
    <row r="8" spans="1:10" x14ac:dyDescent="0.25">
      <c r="A8" s="9" t="s">
        <v>1</v>
      </c>
      <c r="B8" s="14">
        <f>'Custos EDA-Fueloil e Gasoleo'!L26/1000000</f>
        <v>151.47493700000001</v>
      </c>
      <c r="C8" s="4">
        <f>'Custos EDA-Fueloil e Gasoleo'!D7</f>
        <v>209.41121764586043</v>
      </c>
      <c r="D8" s="14">
        <f t="shared" ref="D8:D12" si="1">B8*C8/1000</f>
        <v>31.720551</v>
      </c>
      <c r="E8" s="14">
        <f>'Custos EDA-Renovaveis'!Y28/1000</f>
        <v>69.898382993581663</v>
      </c>
      <c r="F8" s="4">
        <v>112.74</v>
      </c>
      <c r="G8" s="14">
        <f t="shared" ref="G8:G12" si="2">E8*F8/1000</f>
        <v>7.8803436986963957</v>
      </c>
      <c r="H8" s="27">
        <f t="shared" ref="H8:H12" si="3">B8+E8</f>
        <v>221.37331999358167</v>
      </c>
      <c r="I8" s="4">
        <f t="shared" si="0"/>
        <v>178.88738669973668</v>
      </c>
      <c r="J8" s="300"/>
    </row>
    <row r="9" spans="1:10" x14ac:dyDescent="0.25">
      <c r="A9" s="9" t="s">
        <v>2</v>
      </c>
      <c r="B9" s="14">
        <f>'Custos EDA-Fueloil e Gasoleo'!L27/1000000</f>
        <v>48.255135000000003</v>
      </c>
      <c r="C9" s="4">
        <f>'Custos EDA-Fueloil e Gasoleo'!D8</f>
        <v>226.82626418929303</v>
      </c>
      <c r="D9" s="14">
        <f t="shared" si="1"/>
        <v>10.945532000000002</v>
      </c>
      <c r="E9" s="14">
        <f>'Custos EDA-Renovaveis'!Y29/1000</f>
        <v>6</v>
      </c>
      <c r="F9" s="4">
        <v>112.74</v>
      </c>
      <c r="G9" s="14">
        <f t="shared" si="2"/>
        <v>0.67643999999999993</v>
      </c>
      <c r="H9" s="27">
        <f t="shared" si="3"/>
        <v>54.255135000000003</v>
      </c>
      <c r="I9" s="4">
        <f t="shared" si="0"/>
        <v>214.20962273893522</v>
      </c>
      <c r="J9" s="300"/>
    </row>
    <row r="10" spans="1:10" x14ac:dyDescent="0.25">
      <c r="A10" s="9" t="s">
        <v>3</v>
      </c>
      <c r="B10" s="14">
        <f>'Custos EDA-Fueloil e Gasoleo'!L28/1000000</f>
        <v>47.923763999999998</v>
      </c>
      <c r="C10" s="4">
        <f>'Custos EDA-Fueloil e Gasoleo'!D9</f>
        <v>229.18471095050046</v>
      </c>
      <c r="D10" s="14">
        <f t="shared" si="1"/>
        <v>10.983394000000001</v>
      </c>
      <c r="E10" s="14">
        <f>'Custos EDA-Renovaveis'!Y30/1000</f>
        <v>7</v>
      </c>
      <c r="F10" s="4">
        <v>112.74</v>
      </c>
      <c r="G10" s="14">
        <f t="shared" si="2"/>
        <v>0.78917999999999999</v>
      </c>
      <c r="H10" s="27">
        <f t="shared" si="3"/>
        <v>54.923763999999998</v>
      </c>
      <c r="I10" s="4">
        <f t="shared" si="0"/>
        <v>214.34390403396245</v>
      </c>
      <c r="J10" s="300"/>
    </row>
    <row r="11" spans="1:10" x14ac:dyDescent="0.25">
      <c r="A11" s="9" t="s">
        <v>4</v>
      </c>
      <c r="B11" s="14">
        <f>'Custos EDA-Fueloil e Gasoleo'!L29/1000000</f>
        <v>29.397441000000001</v>
      </c>
      <c r="C11" s="4">
        <f>'Custos EDA-Fueloil e Gasoleo'!D10</f>
        <v>352.08642820305352</v>
      </c>
      <c r="D11" s="14">
        <f t="shared" si="1"/>
        <v>10.350440000000003</v>
      </c>
      <c r="E11" s="14">
        <f>'Custos EDA-Renovaveis'!Y31/1000</f>
        <v>0.2</v>
      </c>
      <c r="F11" s="4">
        <v>112.74</v>
      </c>
      <c r="G11" s="14">
        <f t="shared" si="2"/>
        <v>2.2548000000000002E-2</v>
      </c>
      <c r="H11" s="27">
        <f t="shared" si="3"/>
        <v>29.597441</v>
      </c>
      <c r="I11" s="4">
        <f t="shared" si="0"/>
        <v>350.46908278320421</v>
      </c>
      <c r="J11" s="300"/>
    </row>
    <row r="12" spans="1:10" x14ac:dyDescent="0.25">
      <c r="A12" s="9" t="s">
        <v>248</v>
      </c>
      <c r="B12" s="14">
        <f>'Custos EDA-Fueloil e Gasoleo'!L30/1000000</f>
        <v>22.118037999999999</v>
      </c>
      <c r="C12" s="4">
        <f>'Custos EDA-Fueloil e Gasoleo'!D11</f>
        <v>377.72192994695104</v>
      </c>
      <c r="D12" s="14">
        <f t="shared" si="1"/>
        <v>8.3544680000000007</v>
      </c>
      <c r="E12" s="14">
        <f>'Custos EDA-Renovaveis'!Y32/1000</f>
        <v>2.2719870000000002</v>
      </c>
      <c r="F12" s="4">
        <v>112.74</v>
      </c>
      <c r="G12" s="14">
        <f t="shared" si="2"/>
        <v>0.25614381438000006</v>
      </c>
      <c r="H12" s="27">
        <f t="shared" si="3"/>
        <v>24.390024999999998</v>
      </c>
      <c r="I12" s="4">
        <f t="shared" si="0"/>
        <v>353.0382529078999</v>
      </c>
      <c r="J12" s="300"/>
    </row>
    <row r="13" spans="1:10" ht="15.75" thickBot="1" x14ac:dyDescent="0.3">
      <c r="A13" s="64" t="s">
        <v>326</v>
      </c>
      <c r="B13" s="65">
        <f>SUM(B7:B12)</f>
        <v>570.90418699999987</v>
      </c>
      <c r="C13" s="65">
        <f>C7*B7/B13+C8*B8/B13+C9*B9/B13+C10*B10/B13+C11*B11/B13+C12*B12/B13</f>
        <v>209.21677002869842</v>
      </c>
      <c r="D13" s="90">
        <f>SUM(D7:D12)</f>
        <v>119.44273000000001</v>
      </c>
      <c r="E13" s="65">
        <f>SUM(E7:E12)</f>
        <v>304.6861136635514</v>
      </c>
      <c r="F13" s="65">
        <f>F7*E7/E13+F8*E8/E13+F9*E9/E13+F10*E10/E13+F11*E11/E13+F12*E12/E13</f>
        <v>112.74000000000001</v>
      </c>
      <c r="G13" s="90">
        <f>SUM(G7:G12)</f>
        <v>34.350312454428789</v>
      </c>
      <c r="H13" s="65">
        <f>SUM(H7:H12)</f>
        <v>875.59030066355149</v>
      </c>
      <c r="I13" s="65">
        <f>I7*H7/H13+I8*H8/H13+I9*H9/H13+I10*H10/H13+I11*H11/H13+I12*H12/H13</f>
        <v>175.64498183440281</v>
      </c>
      <c r="J13" s="65"/>
    </row>
    <row r="14" spans="1:10" ht="15.75" thickTop="1" x14ac:dyDescent="0.25"/>
    <row r="15" spans="1:10" x14ac:dyDescent="0.25">
      <c r="A15" s="433" t="s">
        <v>327</v>
      </c>
      <c r="B15" s="432"/>
      <c r="C15" s="432"/>
      <c r="D15" s="432"/>
      <c r="E15" s="432"/>
      <c r="F15" s="432"/>
      <c r="G15" s="432"/>
      <c r="H15" s="432"/>
      <c r="I15" s="432"/>
      <c r="J15" s="432"/>
    </row>
    <row r="16" spans="1:10" x14ac:dyDescent="0.25">
      <c r="A16" s="9"/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9"/>
      <c r="B17" s="299" t="s">
        <v>322</v>
      </c>
      <c r="C17" s="206"/>
      <c r="D17" s="206"/>
      <c r="E17" s="206" t="s">
        <v>323</v>
      </c>
      <c r="F17" s="206"/>
      <c r="G17" s="206"/>
      <c r="H17" s="205" t="s">
        <v>324</v>
      </c>
      <c r="I17" s="205"/>
      <c r="J17" s="206"/>
    </row>
    <row r="18" spans="1:10" x14ac:dyDescent="0.25">
      <c r="A18" s="8" t="s">
        <v>246</v>
      </c>
      <c r="B18" s="10" t="s">
        <v>325</v>
      </c>
      <c r="C18" s="10" t="s">
        <v>14</v>
      </c>
      <c r="D18" s="10" t="s">
        <v>13</v>
      </c>
      <c r="E18" s="204" t="s">
        <v>325</v>
      </c>
      <c r="F18" s="204" t="s">
        <v>14</v>
      </c>
      <c r="G18" s="10" t="s">
        <v>13</v>
      </c>
      <c r="H18" s="10" t="s">
        <v>325</v>
      </c>
      <c r="I18" s="10" t="s">
        <v>14</v>
      </c>
      <c r="J18" s="10" t="s">
        <v>13</v>
      </c>
    </row>
    <row r="19" spans="1:10" x14ac:dyDescent="0.25">
      <c r="A19" s="9" t="s">
        <v>0</v>
      </c>
      <c r="B19" s="14">
        <f>H19-E19</f>
        <v>151</v>
      </c>
      <c r="C19" s="4">
        <f>'Custos EDA-Fueloil e Gasoleo'!F6</f>
        <v>179.71369828455437</v>
      </c>
      <c r="D19" s="14">
        <f>B19*C19/1000</f>
        <v>27.13676844096771</v>
      </c>
      <c r="E19" s="14">
        <v>391</v>
      </c>
      <c r="F19" s="4">
        <f>'Custos EDA-Renovaveis'!X49</f>
        <v>121.46981733646868</v>
      </c>
      <c r="G19" s="14">
        <f>E19*F19/1000</f>
        <v>47.494698578559252</v>
      </c>
      <c r="H19" s="27">
        <v>542</v>
      </c>
      <c r="I19" s="4">
        <f>J19*1000/H19</f>
        <v>137.69643361536342</v>
      </c>
      <c r="J19" s="14">
        <f>D19+G19</f>
        <v>74.631467019526966</v>
      </c>
    </row>
    <row r="20" spans="1:10" x14ac:dyDescent="0.25">
      <c r="A20" s="9" t="s">
        <v>1</v>
      </c>
      <c r="B20" s="14">
        <f t="shared" ref="B20:B24" si="4">H20-E20</f>
        <v>97</v>
      </c>
      <c r="C20" s="4">
        <f>'Custos EDA-Fueloil e Gasoleo'!F7</f>
        <v>216.2357663169056</v>
      </c>
      <c r="D20" s="14">
        <f t="shared" ref="D20:D24" si="5">B20*C20/1000</f>
        <v>20.974869332739843</v>
      </c>
      <c r="E20" s="14">
        <v>116</v>
      </c>
      <c r="F20" s="4">
        <f>F8*(1.01^5)</f>
        <v>118.49087304827398</v>
      </c>
      <c r="G20" s="14">
        <f t="shared" ref="G20:G24" si="6">E20*F20/1000</f>
        <v>13.744941273599782</v>
      </c>
      <c r="H20" s="27">
        <v>213</v>
      </c>
      <c r="I20" s="4">
        <f t="shared" ref="I20:I24" si="7">J20*1000/H20</f>
        <v>163.00380566356628</v>
      </c>
      <c r="J20" s="14">
        <f t="shared" ref="J20:J24" si="8">D20+G20</f>
        <v>34.719810606339621</v>
      </c>
    </row>
    <row r="21" spans="1:10" x14ac:dyDescent="0.25">
      <c r="A21" s="9" t="s">
        <v>2</v>
      </c>
      <c r="B21" s="14">
        <f t="shared" si="4"/>
        <v>48</v>
      </c>
      <c r="C21" s="4">
        <f>'Custos EDA-Fueloil e Gasoleo'!F8</f>
        <v>234.61569509649078</v>
      </c>
      <c r="D21" s="14">
        <f t="shared" si="5"/>
        <v>11.261553364631558</v>
      </c>
      <c r="E21" s="14">
        <v>16</v>
      </c>
      <c r="F21" s="4">
        <f>F9*(1.01^5)</f>
        <v>118.49087304827398</v>
      </c>
      <c r="G21" s="14">
        <f t="shared" si="6"/>
        <v>1.8958539687723837</v>
      </c>
      <c r="H21" s="27">
        <v>64</v>
      </c>
      <c r="I21" s="4">
        <f t="shared" si="7"/>
        <v>205.5844895844366</v>
      </c>
      <c r="J21" s="14">
        <f t="shared" si="8"/>
        <v>13.157407333403942</v>
      </c>
    </row>
    <row r="22" spans="1:10" x14ac:dyDescent="0.25">
      <c r="A22" s="9" t="s">
        <v>3</v>
      </c>
      <c r="B22" s="14">
        <f t="shared" si="4"/>
        <v>49.2</v>
      </c>
      <c r="C22" s="4">
        <f>'Custos EDA-Fueloil e Gasoleo'!F9</f>
        <v>236.81459077379648</v>
      </c>
      <c r="D22" s="14">
        <f t="shared" si="5"/>
        <v>11.651277866070789</v>
      </c>
      <c r="E22" s="14">
        <v>15</v>
      </c>
      <c r="F22" s="4">
        <f>F10*(1.01^5)</f>
        <v>118.49087304827398</v>
      </c>
      <c r="G22" s="14">
        <f t="shared" si="6"/>
        <v>1.7773630957241098</v>
      </c>
      <c r="H22" s="27">
        <v>64.2</v>
      </c>
      <c r="I22" s="4">
        <f t="shared" si="7"/>
        <v>209.16886233325386</v>
      </c>
      <c r="J22" s="14">
        <f t="shared" si="8"/>
        <v>13.428640961794898</v>
      </c>
    </row>
    <row r="23" spans="1:10" x14ac:dyDescent="0.25">
      <c r="A23" s="9" t="s">
        <v>4</v>
      </c>
      <c r="B23" s="14">
        <f t="shared" si="4"/>
        <v>25</v>
      </c>
      <c r="C23" s="4">
        <f>'Custos EDA-Fueloil e Gasoleo'!F10</f>
        <v>364.4718341300524</v>
      </c>
      <c r="D23" s="14">
        <f t="shared" si="5"/>
        <v>9.1117958532513086</v>
      </c>
      <c r="E23" s="14">
        <v>10</v>
      </c>
      <c r="F23" s="4">
        <f>F11*(1.01^5)</f>
        <v>118.49087304827398</v>
      </c>
      <c r="G23" s="14">
        <f t="shared" si="6"/>
        <v>1.1849087304827399</v>
      </c>
      <c r="H23" s="27">
        <v>35</v>
      </c>
      <c r="I23" s="4">
        <f t="shared" si="7"/>
        <v>294.19155953525853</v>
      </c>
      <c r="J23" s="14">
        <f t="shared" si="8"/>
        <v>10.296704583734048</v>
      </c>
    </row>
    <row r="24" spans="1:10" x14ac:dyDescent="0.25">
      <c r="A24" s="9" t="s">
        <v>248</v>
      </c>
      <c r="B24" s="14">
        <f t="shared" si="4"/>
        <v>17.7</v>
      </c>
      <c r="C24" s="4">
        <f>'Custos EDA-Fueloil e Gasoleo'!F11</f>
        <v>390.17407059342247</v>
      </c>
      <c r="D24" s="14">
        <f t="shared" si="5"/>
        <v>6.9060810495035776</v>
      </c>
      <c r="E24" s="14">
        <v>7.3</v>
      </c>
      <c r="F24" s="4">
        <f>F12*(1.01^5)</f>
        <v>118.49087304827398</v>
      </c>
      <c r="G24" s="14">
        <f t="shared" si="6"/>
        <v>0.86498337325240005</v>
      </c>
      <c r="H24" s="27">
        <v>25</v>
      </c>
      <c r="I24" s="4">
        <f t="shared" si="7"/>
        <v>310.84257691023913</v>
      </c>
      <c r="J24" s="14">
        <f t="shared" si="8"/>
        <v>7.7710644227559778</v>
      </c>
    </row>
    <row r="25" spans="1:10" ht="15.75" thickBot="1" x14ac:dyDescent="0.3">
      <c r="A25" s="64" t="s">
        <v>326</v>
      </c>
      <c r="B25" s="65">
        <f>SUM(B19:B24)</f>
        <v>387.9</v>
      </c>
      <c r="C25" s="65">
        <f>'Custos EDA-Fueloil e Gasoleo'!F12</f>
        <v>216.50508693851984</v>
      </c>
      <c r="D25" s="90">
        <f>SUM(D19:D24)</f>
        <v>87.042345907164801</v>
      </c>
      <c r="E25" s="65">
        <f>SUM(E19:E24)</f>
        <v>555.29999999999995</v>
      </c>
      <c r="F25" s="65">
        <f>F19*E19/E25+F20*E20/E25+F21*E21/E25+F22*E22/E25+F23*E23/E25+F24*E24/E25</f>
        <v>120.58841890940154</v>
      </c>
      <c r="G25" s="90">
        <f>SUM(G19:G24)</f>
        <v>66.962749020390675</v>
      </c>
      <c r="H25" s="65">
        <f>SUM(H19:H24)</f>
        <v>943.2</v>
      </c>
      <c r="I25" s="65">
        <f>J25*1000/H25</f>
        <v>163.27936273065677</v>
      </c>
      <c r="J25" s="90">
        <f>SUM(J19:J24)</f>
        <v>154.00509492755546</v>
      </c>
    </row>
    <row r="26" spans="1:10" ht="15.75" thickTop="1" x14ac:dyDescent="0.25">
      <c r="A26" s="6" t="s">
        <v>328</v>
      </c>
      <c r="B26" s="69"/>
      <c r="C26" s="69"/>
      <c r="D26" s="69"/>
      <c r="E26" s="69"/>
      <c r="F26" s="69"/>
      <c r="G26" s="69"/>
      <c r="H26" s="69"/>
      <c r="I26" s="298"/>
      <c r="J26" s="298"/>
    </row>
    <row r="27" spans="1:10" x14ac:dyDescent="0.25">
      <c r="A27" s="298"/>
      <c r="B27" s="298"/>
      <c r="C27" s="298"/>
      <c r="D27" s="298"/>
      <c r="E27" s="298"/>
      <c r="F27" s="298"/>
      <c r="G27" s="298"/>
      <c r="H27" s="298"/>
      <c r="I27" s="298"/>
      <c r="J27" s="298"/>
    </row>
    <row r="28" spans="1:10" x14ac:dyDescent="0.25">
      <c r="A28" s="433" t="s">
        <v>329</v>
      </c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x14ac:dyDescent="0.25">
      <c r="A29" s="9"/>
      <c r="B29" s="431" t="s">
        <v>330</v>
      </c>
      <c r="C29" s="431"/>
      <c r="D29" s="431"/>
      <c r="E29" s="431"/>
      <c r="F29" s="431"/>
      <c r="G29" s="431"/>
      <c r="H29" s="431"/>
      <c r="I29" s="431"/>
      <c r="J29" s="431"/>
    </row>
    <row r="30" spans="1:10" x14ac:dyDescent="0.25">
      <c r="A30" s="9"/>
      <c r="B30" s="428" t="s">
        <v>322</v>
      </c>
      <c r="C30" s="429"/>
      <c r="D30" s="429"/>
      <c r="E30" s="428" t="s">
        <v>323</v>
      </c>
      <c r="F30" s="429"/>
      <c r="G30" s="430"/>
      <c r="H30" s="428" t="s">
        <v>331</v>
      </c>
      <c r="I30" s="429"/>
      <c r="J30" s="430"/>
    </row>
    <row r="31" spans="1:10" x14ac:dyDescent="0.25">
      <c r="A31" s="8" t="s">
        <v>246</v>
      </c>
      <c r="B31" s="40" t="s">
        <v>325</v>
      </c>
      <c r="C31" s="10" t="s">
        <v>14</v>
      </c>
      <c r="D31" s="73" t="s">
        <v>13</v>
      </c>
      <c r="E31" s="40" t="s">
        <v>325</v>
      </c>
      <c r="F31" s="10" t="s">
        <v>14</v>
      </c>
      <c r="G31" s="73" t="s">
        <v>13</v>
      </c>
      <c r="H31" s="10" t="s">
        <v>325</v>
      </c>
      <c r="I31" s="10" t="s">
        <v>14</v>
      </c>
      <c r="J31" s="10" t="s">
        <v>13</v>
      </c>
    </row>
    <row r="32" spans="1:10" x14ac:dyDescent="0.25">
      <c r="A32" s="9" t="s">
        <v>0</v>
      </c>
      <c r="B32" s="26">
        <f>H32-E32</f>
        <v>4080.4196657452267</v>
      </c>
      <c r="C32" s="4">
        <f>'Custos EDA-Fueloil e Gasoleo'!M37</f>
        <v>217.7611547334941</v>
      </c>
      <c r="D32" s="74">
        <f>B32*C32*1000/1000000</f>
        <v>888.55689820993848</v>
      </c>
      <c r="E32" s="26">
        <f>0.75*H32</f>
        <v>12241.25899723568</v>
      </c>
      <c r="F32" s="4">
        <f>F19*(1.015^12.5)</f>
        <v>146.3167030123121</v>
      </c>
      <c r="G32" s="74">
        <f>E32*F32*1000/1000000</f>
        <v>1791.1006571953262</v>
      </c>
      <c r="H32" s="13">
        <f>H19*(1.015^12.5)*25</f>
        <v>16321.678662980907</v>
      </c>
      <c r="I32" s="4">
        <f>C32*B32/H32+F32*E32/H32</f>
        <v>164.17781594260759</v>
      </c>
      <c r="J32" s="61">
        <f>H32*I32*1000/1000000</f>
        <v>2679.6575554052647</v>
      </c>
    </row>
    <row r="33" spans="1:15" x14ac:dyDescent="0.25">
      <c r="A33" s="9" t="s">
        <v>1</v>
      </c>
      <c r="B33" s="26">
        <f t="shared" ref="B33:B37" si="9">H33-E33</f>
        <v>2764.537022689366</v>
      </c>
      <c r="C33" s="4">
        <f>'Custos EDA-Fueloil e Gasoleo'!M38</f>
        <v>257.33841362574083</v>
      </c>
      <c r="D33" s="74">
        <f t="shared" ref="D33:D38" si="10">B33*C33*1000/1000000</f>
        <v>711.4215718285102</v>
      </c>
      <c r="E33" s="26">
        <f>0.569*H33</f>
        <v>3649.7020090725032</v>
      </c>
      <c r="F33" s="4">
        <f t="shared" ref="F33:F37" si="11">F20*(1.015^12.5)</f>
        <v>142.72840991808064</v>
      </c>
      <c r="G33" s="74">
        <f t="shared" ref="G33:G38" si="12">E33*F33*1000/1000000</f>
        <v>520.91616442974271</v>
      </c>
      <c r="H33" s="13">
        <f t="shared" ref="H33:H37" si="13">H20*(1.015^12.5)*25</f>
        <v>6414.2390317618692</v>
      </c>
      <c r="I33" s="4">
        <f t="shared" ref="I33:I37" si="14">C33*B33/H33+F33*E33/H33</f>
        <v>192.12532151608218</v>
      </c>
      <c r="J33" s="61">
        <f t="shared" ref="J33:J38" si="15">H33*I33*1000/1000000</f>
        <v>1232.3377362582528</v>
      </c>
    </row>
    <row r="34" spans="1:15" x14ac:dyDescent="0.25">
      <c r="A34" s="9" t="s">
        <v>2</v>
      </c>
      <c r="B34" s="26">
        <f t="shared" si="9"/>
        <v>1445.4623170167592</v>
      </c>
      <c r="C34" s="4">
        <f>'Custos EDA-Fueloil e Gasoleo'!M39</f>
        <v>251.63362388119543</v>
      </c>
      <c r="D34" s="74">
        <f t="shared" si="10"/>
        <v>363.72692101463645</v>
      </c>
      <c r="E34" s="26">
        <f>0.25*H34</f>
        <v>481.82077233891977</v>
      </c>
      <c r="F34" s="4">
        <f t="shared" si="11"/>
        <v>142.72840991808064</v>
      </c>
      <c r="G34" s="74">
        <f t="shared" si="12"/>
        <v>68.769512701435545</v>
      </c>
      <c r="H34" s="13">
        <f t="shared" si="13"/>
        <v>1927.2830893556791</v>
      </c>
      <c r="I34" s="4">
        <f t="shared" si="14"/>
        <v>224.40732039041671</v>
      </c>
      <c r="J34" s="61">
        <f t="shared" si="15"/>
        <v>432.49643371607203</v>
      </c>
    </row>
    <row r="35" spans="1:15" x14ac:dyDescent="0.25">
      <c r="A35" s="9" t="s">
        <v>3</v>
      </c>
      <c r="B35" s="26">
        <f t="shared" si="9"/>
        <v>1480.9122803415953</v>
      </c>
      <c r="C35" s="4">
        <f>'Custos EDA-Fueloil e Gasoleo'!M40</f>
        <v>252.64556446103231</v>
      </c>
      <c r="D35" s="74">
        <f t="shared" si="10"/>
        <v>374.14591898417689</v>
      </c>
      <c r="E35" s="26">
        <f>0.234*H35</f>
        <v>452.39356866832026</v>
      </c>
      <c r="F35" s="4">
        <f t="shared" si="11"/>
        <v>142.72840991808064</v>
      </c>
      <c r="G35" s="74">
        <f t="shared" si="12"/>
        <v>64.569414713195371</v>
      </c>
      <c r="H35" s="13">
        <f t="shared" si="13"/>
        <v>1933.3058490099156</v>
      </c>
      <c r="I35" s="4">
        <f t="shared" si="14"/>
        <v>226.92495029798164</v>
      </c>
      <c r="J35" s="61">
        <f t="shared" si="15"/>
        <v>438.71533369737233</v>
      </c>
    </row>
    <row r="36" spans="1:15" x14ac:dyDescent="0.25">
      <c r="A36" s="9" t="s">
        <v>4</v>
      </c>
      <c r="B36" s="26">
        <f t="shared" si="9"/>
        <v>752.54381879685036</v>
      </c>
      <c r="C36" s="4">
        <f>'Custos EDA-Fueloil e Gasoleo'!M41</f>
        <v>405.9143373916537</v>
      </c>
      <c r="D36" s="74">
        <f t="shared" si="10"/>
        <v>305.46832556510822</v>
      </c>
      <c r="E36" s="26">
        <f>0.286*H36</f>
        <v>301.43912069453665</v>
      </c>
      <c r="F36" s="4">
        <f t="shared" si="11"/>
        <v>142.72840991808064</v>
      </c>
      <c r="G36" s="74">
        <f t="shared" si="12"/>
        <v>43.023926383835615</v>
      </c>
      <c r="H36" s="13">
        <f t="shared" si="13"/>
        <v>1053.982939491387</v>
      </c>
      <c r="I36" s="4">
        <f t="shared" si="14"/>
        <v>330.64316213421182</v>
      </c>
      <c r="J36" s="61">
        <f t="shared" si="15"/>
        <v>348.49225194894387</v>
      </c>
    </row>
    <row r="37" spans="1:15" x14ac:dyDescent="0.25">
      <c r="A37" s="9" t="s">
        <v>248</v>
      </c>
      <c r="B37" s="26">
        <f t="shared" si="9"/>
        <v>533.01422939993006</v>
      </c>
      <c r="C37" s="4">
        <f>'Custos EDA-Fueloil e Gasoleo'!M42</f>
        <v>434.81813636911357</v>
      </c>
      <c r="D37" s="74">
        <f t="shared" si="10"/>
        <v>231.76425388589678</v>
      </c>
      <c r="E37" s="26">
        <f>0.292*H37</f>
        <v>219.83072737963212</v>
      </c>
      <c r="F37" s="4">
        <f t="shared" si="11"/>
        <v>142.72840991808064</v>
      </c>
      <c r="G37" s="74">
        <f t="shared" si="12"/>
        <v>31.376090170029968</v>
      </c>
      <c r="H37" s="13">
        <f t="shared" si="13"/>
        <v>752.84495677956215</v>
      </c>
      <c r="I37" s="4">
        <f t="shared" si="14"/>
        <v>349.52793624541198</v>
      </c>
      <c r="J37" s="61">
        <f t="shared" si="15"/>
        <v>263.14034405592673</v>
      </c>
    </row>
    <row r="38" spans="1:15" ht="15.75" thickBot="1" x14ac:dyDescent="0.3">
      <c r="A38" s="71" t="s">
        <v>326</v>
      </c>
      <c r="B38" s="75">
        <f>SUM(B32:B37)</f>
        <v>11056.889333989729</v>
      </c>
      <c r="C38" s="76">
        <f>C32*B32/B38+C33*B33/B38+C34*B34/B38+C35*B35/B38+C36*B36/B38+C37*B37/B38</f>
        <v>260.02646880529386</v>
      </c>
      <c r="D38" s="77">
        <f t="shared" si="10"/>
        <v>2875.0838894882668</v>
      </c>
      <c r="E38" s="75">
        <f>SUM(E32:E37)</f>
        <v>17346.445195389591</v>
      </c>
      <c r="F38" s="76">
        <f>F32*E32/E38+F33*E33/E38+F34*E34/E38+F35*E35/E38+F36*E36/E38+F37*E37/E38</f>
        <v>145.26064200538778</v>
      </c>
      <c r="G38" s="77">
        <f t="shared" si="12"/>
        <v>2519.7557655935666</v>
      </c>
      <c r="H38" s="72">
        <f>SUM(H32:H37)</f>
        <v>28403.334529379321</v>
      </c>
      <c r="I38" s="70">
        <f>I32*H32/H38+I33*H33/H38+I34*H34/H38+I35*H35/H38+I36*H36/H38+I37*H37/H38</f>
        <v>189.93684172897437</v>
      </c>
      <c r="J38" s="72">
        <f t="shared" si="15"/>
        <v>5394.8396550818325</v>
      </c>
    </row>
    <row r="39" spans="1:15" ht="15.75" thickTop="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</row>
    <row r="40" spans="1:15" x14ac:dyDescent="0.25">
      <c r="A40" s="66"/>
      <c r="B40" s="432" t="s">
        <v>332</v>
      </c>
      <c r="C40" s="432"/>
      <c r="D40" s="432"/>
      <c r="E40" s="432"/>
      <c r="F40" s="432"/>
      <c r="G40" s="432"/>
      <c r="H40" s="432"/>
      <c r="I40" s="432"/>
      <c r="J40" s="6"/>
    </row>
    <row r="41" spans="1:15" x14ac:dyDescent="0.25">
      <c r="A41" s="9"/>
      <c r="B41" s="427" t="s">
        <v>333</v>
      </c>
      <c r="C41" s="427"/>
      <c r="D41" s="427"/>
      <c r="E41" s="427"/>
      <c r="F41" s="427"/>
      <c r="G41" s="427"/>
      <c r="H41" s="427"/>
      <c r="I41" s="427"/>
      <c r="J41" s="427"/>
    </row>
    <row r="42" spans="1:15" x14ac:dyDescent="0.25">
      <c r="A42" s="9"/>
      <c r="B42" s="428" t="s">
        <v>322</v>
      </c>
      <c r="C42" s="429"/>
      <c r="D42" s="429"/>
      <c r="E42" s="428" t="s">
        <v>323</v>
      </c>
      <c r="F42" s="429"/>
      <c r="G42" s="430"/>
      <c r="H42" s="428" t="s">
        <v>331</v>
      </c>
      <c r="I42" s="429"/>
      <c r="J42" s="430"/>
    </row>
    <row r="43" spans="1:15" x14ac:dyDescent="0.25">
      <c r="A43" s="8" t="s">
        <v>246</v>
      </c>
      <c r="B43" s="10" t="s">
        <v>325</v>
      </c>
      <c r="C43" s="10" t="s">
        <v>14</v>
      </c>
      <c r="D43" s="10" t="s">
        <v>13</v>
      </c>
      <c r="E43" s="10" t="s">
        <v>325</v>
      </c>
      <c r="F43" s="10" t="s">
        <v>14</v>
      </c>
      <c r="G43" s="10" t="s">
        <v>13</v>
      </c>
      <c r="H43" s="10" t="s">
        <v>325</v>
      </c>
      <c r="I43" s="10" t="s">
        <v>14</v>
      </c>
      <c r="J43" s="10" t="s">
        <v>13</v>
      </c>
    </row>
    <row r="44" spans="1:15" x14ac:dyDescent="0.25">
      <c r="A44" s="9" t="s">
        <v>0</v>
      </c>
      <c r="B44" s="61">
        <f>B32-'Poupança 2028-2053'!C22</f>
        <v>3297.5393297452265</v>
      </c>
      <c r="C44" s="4">
        <f>'Custos EDA-Fueloil e Gasoleo'!M37</f>
        <v>217.7611547334941</v>
      </c>
      <c r="D44" s="61">
        <f>B44*C44*1000/1000000</f>
        <v>718.07597222443258</v>
      </c>
      <c r="E44" s="61">
        <f>H32-B44</f>
        <v>13024.13933323568</v>
      </c>
      <c r="F44" s="4">
        <f>G44/E44*1000</f>
        <v>145.77835390966854</v>
      </c>
      <c r="G44" s="61">
        <f>G32+'Poupança 2028-2053'!C23</f>
        <v>1898.6375930892655</v>
      </c>
      <c r="H44" s="13">
        <f>B44+E44</f>
        <v>16321.678662980907</v>
      </c>
      <c r="I44" s="4">
        <f>C44*B44/H44+F44*E44/H44</f>
        <v>160.32135047779425</v>
      </c>
      <c r="J44" s="61">
        <f>H44*I44*1000/1000000</f>
        <v>2616.7135653136984</v>
      </c>
      <c r="K44" s="30"/>
      <c r="L44" s="30"/>
      <c r="N44" s="22"/>
      <c r="O44" s="30"/>
    </row>
    <row r="45" spans="1:15" x14ac:dyDescent="0.25">
      <c r="A45" s="9" t="s">
        <v>1</v>
      </c>
      <c r="B45" s="61">
        <f>B33-'Poupança 2028-2053'!D22</f>
        <v>2349.476886689366</v>
      </c>
      <c r="C45" s="4">
        <f>'Custos EDA-Fueloil e Gasoleo'!M38</f>
        <v>257.33841362574083</v>
      </c>
      <c r="D45" s="61">
        <f t="shared" ref="D45:D50" si="16">B45*C45*1000/1000000</f>
        <v>604.61065487098585</v>
      </c>
      <c r="E45" s="61">
        <f t="shared" ref="E45:E49" si="17">H33-B45</f>
        <v>4064.7621450725032</v>
      </c>
      <c r="F45" s="4">
        <f t="shared" ref="F45:F49" si="18">G45/E45*1000</f>
        <v>141.86794556404962</v>
      </c>
      <c r="G45" s="61">
        <f>G33+'Poupança 2028-2053'!D23</f>
        <v>576.65945472795545</v>
      </c>
      <c r="H45" s="13">
        <f t="shared" ref="H45:H49" si="19">B45+E45</f>
        <v>6414.2390317618692</v>
      </c>
      <c r="I45" s="4">
        <f t="shared" ref="I45:I49" si="20">C45*B45/H45+F45*E45/H45</f>
        <v>184.16371821342446</v>
      </c>
      <c r="J45" s="61">
        <f t="shared" ref="J45:J50" si="21">H45*I45*1000/1000000</f>
        <v>1181.2701095989414</v>
      </c>
      <c r="K45" s="30"/>
      <c r="L45" s="30"/>
      <c r="N45" s="22"/>
      <c r="O45" s="30"/>
    </row>
    <row r="46" spans="1:15" x14ac:dyDescent="0.25">
      <c r="A46" s="9" t="s">
        <v>2</v>
      </c>
      <c r="B46" s="61">
        <f>B34-'Poupança 2028-2053'!E22</f>
        <v>1131.2810450167592</v>
      </c>
      <c r="C46" s="4">
        <f>'Custos EDA-Fueloil e Gasoleo'!M39</f>
        <v>251.63362388119543</v>
      </c>
      <c r="D46" s="61">
        <f t="shared" si="16"/>
        <v>284.66834898567294</v>
      </c>
      <c r="E46" s="61">
        <f t="shared" si="17"/>
        <v>796.00204433891986</v>
      </c>
      <c r="F46" s="4">
        <f t="shared" si="18"/>
        <v>162.00660923729353</v>
      </c>
      <c r="G46" s="61">
        <f>G34+'Poupança 2028-2053'!E23</f>
        <v>128.9575921493022</v>
      </c>
      <c r="H46" s="13">
        <f t="shared" si="19"/>
        <v>1927.2830893556791</v>
      </c>
      <c r="I46" s="4">
        <f t="shared" si="20"/>
        <v>214.61607971315556</v>
      </c>
      <c r="J46" s="61">
        <f t="shared" si="21"/>
        <v>413.62594113497511</v>
      </c>
      <c r="K46" s="30"/>
      <c r="L46" s="30"/>
      <c r="N46" s="22"/>
      <c r="O46" s="30"/>
    </row>
    <row r="47" spans="1:15" x14ac:dyDescent="0.25">
      <c r="A47" s="9" t="s">
        <v>3</v>
      </c>
      <c r="B47" s="61">
        <f>B35-'Poupança 2028-2053'!F22</f>
        <v>1189.5068403415953</v>
      </c>
      <c r="C47" s="4">
        <f>'Custos EDA-Fueloil e Gasoleo'!M40</f>
        <v>252.64556446103231</v>
      </c>
      <c r="D47" s="61">
        <f t="shared" si="16"/>
        <v>300.52362710836144</v>
      </c>
      <c r="E47" s="61">
        <f t="shared" si="17"/>
        <v>743.79900866832031</v>
      </c>
      <c r="F47" s="4">
        <f t="shared" si="18"/>
        <v>163.72598859739068</v>
      </c>
      <c r="G47" s="61">
        <f>G35+'Poupança 2028-2053'!F23</f>
        <v>121.77922801197991</v>
      </c>
      <c r="H47" s="13">
        <f t="shared" si="19"/>
        <v>1933.3058490099156</v>
      </c>
      <c r="I47" s="4">
        <f t="shared" si="20"/>
        <v>218.43561655627897</v>
      </c>
      <c r="J47" s="61">
        <f t="shared" si="21"/>
        <v>422.30285512034129</v>
      </c>
      <c r="K47" s="30"/>
      <c r="L47" s="30"/>
      <c r="N47" s="22"/>
      <c r="O47" s="30"/>
    </row>
    <row r="48" spans="1:15" x14ac:dyDescent="0.25">
      <c r="A48" s="9" t="s">
        <v>4</v>
      </c>
      <c r="B48" s="61">
        <f>B36-'Poupança 2028-2053'!G22</f>
        <v>621.76224279685039</v>
      </c>
      <c r="C48" s="4">
        <f>'Custos EDA-Fueloil e Gasoleo'!M41</f>
        <v>405.9143373916537</v>
      </c>
      <c r="D48" s="61">
        <f t="shared" si="16"/>
        <v>252.38220880003206</v>
      </c>
      <c r="E48" s="61">
        <f t="shared" si="17"/>
        <v>432.22069669453663</v>
      </c>
      <c r="F48" s="4">
        <f t="shared" si="18"/>
        <v>171.70320034430489</v>
      </c>
      <c r="G48" s="61">
        <f>G36+'Poupança 2028-2053'!G23</f>
        <v>74.213676877497065</v>
      </c>
      <c r="H48" s="13">
        <f t="shared" si="19"/>
        <v>1053.982939491387</v>
      </c>
      <c r="I48" s="4">
        <f t="shared" si="20"/>
        <v>309.86828480841643</v>
      </c>
      <c r="J48" s="61">
        <f t="shared" si="21"/>
        <v>326.59588567752905</v>
      </c>
      <c r="K48" s="30"/>
      <c r="L48" s="30"/>
      <c r="N48" s="22"/>
      <c r="O48" s="30"/>
    </row>
    <row r="49" spans="1:15" x14ac:dyDescent="0.25">
      <c r="A49" s="9" t="s">
        <v>248</v>
      </c>
      <c r="B49" s="61">
        <f>B37-'Poupança 2028-2053'!H22</f>
        <v>457.57438139993008</v>
      </c>
      <c r="C49" s="4">
        <f>'Custos EDA-Fueloil e Gasoleo'!M42</f>
        <v>434.81813636911357</v>
      </c>
      <c r="D49" s="61">
        <f t="shared" si="16"/>
        <v>198.96163977056759</v>
      </c>
      <c r="E49" s="61">
        <f t="shared" si="17"/>
        <v>295.27057537963208</v>
      </c>
      <c r="F49" s="4">
        <f t="shared" si="18"/>
        <v>168.79629221304586</v>
      </c>
      <c r="G49" s="61">
        <f>G37+'Poupança 2028-2053'!H23</f>
        <v>49.840578323694558</v>
      </c>
      <c r="H49" s="13">
        <f t="shared" si="19"/>
        <v>752.84495677956215</v>
      </c>
      <c r="I49" s="4">
        <f t="shared" si="20"/>
        <v>330.48267887529067</v>
      </c>
      <c r="J49" s="61">
        <f t="shared" si="21"/>
        <v>248.80221809426212</v>
      </c>
      <c r="K49" s="30"/>
      <c r="L49" s="30"/>
      <c r="N49" s="22"/>
      <c r="O49" s="30"/>
    </row>
    <row r="50" spans="1:15" ht="15.75" thickBot="1" x14ac:dyDescent="0.3">
      <c r="A50" s="71" t="s">
        <v>326</v>
      </c>
      <c r="B50" s="72">
        <f>SUM(B44:B49)</f>
        <v>9047.1407259897278</v>
      </c>
      <c r="C50" s="70">
        <f>C44*B44/B50+C45*B45/B50+C46*B46/B50+C47*B47/B50+C48*B48/B50+C49*B49/B50</f>
        <v>260.76995187912934</v>
      </c>
      <c r="D50" s="72">
        <f t="shared" si="16"/>
        <v>2359.2224517600525</v>
      </c>
      <c r="E50" s="72">
        <f>SUM(E44:E49)</f>
        <v>19356.193803389593</v>
      </c>
      <c r="F50" s="70">
        <f>G50/E50*1000</f>
        <v>147.24424399390944</v>
      </c>
      <c r="G50" s="72">
        <f>SUM(G44:G49)</f>
        <v>2850.0881231796948</v>
      </c>
      <c r="H50" s="72">
        <f>SUM(H44:H49)</f>
        <v>28403.334529379321</v>
      </c>
      <c r="I50" s="70">
        <f>I44*H44/H50+I45*H45/H50+I46*H46/H50+I47*H47/H50+I48*H48/H50+I49*H49/H50</f>
        <v>183.40489457501673</v>
      </c>
      <c r="J50" s="72">
        <f t="shared" si="21"/>
        <v>5209.3105749397464</v>
      </c>
      <c r="K50" s="30"/>
      <c r="L50" s="30"/>
      <c r="M50" s="22"/>
      <c r="N50" s="22"/>
      <c r="O50" s="30"/>
    </row>
    <row r="51" spans="1:15" ht="15.75" thickTop="1" x14ac:dyDescent="0.25"/>
  </sheetData>
  <mergeCells count="12">
    <mergeCell ref="B29:J29"/>
    <mergeCell ref="B40:I40"/>
    <mergeCell ref="A28:J28"/>
    <mergeCell ref="A15:J15"/>
    <mergeCell ref="A3:J3"/>
    <mergeCell ref="B41:J41"/>
    <mergeCell ref="H42:J42"/>
    <mergeCell ref="B30:D30"/>
    <mergeCell ref="E30:G30"/>
    <mergeCell ref="H30:J30"/>
    <mergeCell ref="B42:D42"/>
    <mergeCell ref="E42:G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53cbc3-507a-49b3-991f-a2f23f26082f">
      <Terms xmlns="http://schemas.microsoft.com/office/infopath/2007/PartnerControls"/>
    </lcf76f155ced4ddcb4097134ff3c332f>
    <TaxCatchAll xmlns="1f218e2f-722f-42ad-a80e-79a2687c6e1d" xsi:nil="true"/>
    <Comments xmlns="ed53cbc3-507a-49b3-991f-a2f23f2608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8A4F0ED6AAC4DBF528CA16A446EBD" ma:contentTypeVersion="15" ma:contentTypeDescription="Create a new document." ma:contentTypeScope="" ma:versionID="edcaa21940d02c2cb1870a90b415147b">
  <xsd:schema xmlns:xsd="http://www.w3.org/2001/XMLSchema" xmlns:xs="http://www.w3.org/2001/XMLSchema" xmlns:p="http://schemas.microsoft.com/office/2006/metadata/properties" xmlns:ns2="ed53cbc3-507a-49b3-991f-a2f23f26082f" xmlns:ns3="1f218e2f-722f-42ad-a80e-79a2687c6e1d" targetNamespace="http://schemas.microsoft.com/office/2006/metadata/properties" ma:root="true" ma:fieldsID="48b395418cc9284d48a3535cfec256c1" ns2:_="" ns3:_="">
    <xsd:import namespace="ed53cbc3-507a-49b3-991f-a2f23f26082f"/>
    <xsd:import namespace="1f218e2f-722f-42ad-a80e-79a2687c6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Comme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3cbc3-507a-49b3-991f-a2f23f260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f62c27-727a-47a1-8d9f-b2cb979f3c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s" ma:index="19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8e2f-722f-42ad-a80e-79a2687c6e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afdcde-07d5-47bf-9704-a12b522e7d84}" ma:internalName="TaxCatchAll" ma:showField="CatchAllData" ma:web="1f218e2f-722f-42ad-a80e-79a2687c6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438F7C-24D4-400A-AED7-C99F2CB7ED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916091-E467-412F-A1EA-DFC66072AF72}">
  <ds:schemaRefs>
    <ds:schemaRef ds:uri="http://schemas.microsoft.com/office/2006/metadata/properties"/>
    <ds:schemaRef ds:uri="http://schemas.microsoft.com/office/infopath/2007/PartnerControls"/>
    <ds:schemaRef ds:uri="ed53cbc3-507a-49b3-991f-a2f23f26082f"/>
    <ds:schemaRef ds:uri="1f218e2f-722f-42ad-a80e-79a2687c6e1d"/>
  </ds:schemaRefs>
</ds:datastoreItem>
</file>

<file path=customXml/itemProps3.xml><?xml version="1.0" encoding="utf-8"?>
<ds:datastoreItem xmlns:ds="http://schemas.openxmlformats.org/officeDocument/2006/customXml" ds:itemID="{4414BFB6-523D-4171-A4D6-11D1D5851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53cbc3-507a-49b3-991f-a2f23f26082f"/>
    <ds:schemaRef ds:uri="1f218e2f-722f-42ad-a80e-79a2687c6e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Poupança 2028-2053</vt:lpstr>
      <vt:lpstr>Poupança 2028-2029</vt:lpstr>
      <vt:lpstr>Resumo de poupança 2028-2029</vt:lpstr>
      <vt:lpstr>Resumo de poupança 2028-2053</vt:lpstr>
      <vt:lpstr>Custo Efetivo</vt:lpstr>
      <vt:lpstr>Preço PPA</vt:lpstr>
      <vt:lpstr>Custos EDA-Fueloil e Gasoleo</vt:lpstr>
      <vt:lpstr>Custos EDA-Renovaveis</vt:lpstr>
      <vt:lpstr>Custos EDA - Todas as Fontes</vt:lpstr>
      <vt:lpstr>Preços de Petróleo</vt:lpstr>
      <vt:lpstr>Custos de CO2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Bercuvitz</dc:creator>
  <cp:keywords/>
  <dc:description/>
  <cp:lastModifiedBy>Rick Bercuvitz</cp:lastModifiedBy>
  <cp:revision/>
  <dcterms:created xsi:type="dcterms:W3CDTF">2024-02-05T15:39:07Z</dcterms:created>
  <dcterms:modified xsi:type="dcterms:W3CDTF">2026-01-17T18:48:51Z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0x0101001FA8A4F0ED6AAC4DBF528CA16A446EBD</vt:lpwstr>
  </property>
  <property fmtid="{D5CDD505-2E9C-101B-9397-08002B2CF9AE}" pid="3" name="MediaServiceImageTags">
    <vt:lpwstr/>
  </property>
</Properties>
</file>